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omments1.xml" ContentType="application/vnd.openxmlformats-officedocument.spreadsheetml.comments+xml"/>
  <Override PartName="/xl/customProperty2.bin" ContentType="application/vnd.openxmlformats-officedocument.spreadsheetml.customProperty"/>
  <Override PartName="/xl/comments2.xml" ContentType="application/vnd.openxmlformats-officedocument.spreadsheetml.comments+xml"/>
  <Override PartName="/xl/customProperty3.bin" ContentType="application/vnd.openxmlformats-officedocument.spreadsheetml.customProperty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ce.sharepoint.com/teams/MA-RRII/Documentos compartidos/Principal/1. Resultados Trimestrales/2026/2T26/Outputs/Excel/"/>
    </mc:Choice>
  </mc:AlternateContent>
  <xr:revisionPtr revIDLastSave="469" documentId="8_{9B694D2F-7A47-48C8-A222-93E769F5D366}" xr6:coauthVersionLast="47" xr6:coauthVersionMax="47" xr10:uidLastSave="{1604FF71-486D-4CD9-BD8A-179C0A47C704}"/>
  <bookViews>
    <workbookView xWindow="-110" yWindow="-110" windowWidth="19420" windowHeight="10300" xr2:uid="{CF429009-DA48-4C2A-B9CB-C1E36FCC81A0}"/>
  </bookViews>
  <sheets>
    <sheet name="WEB CONSOLIDADO" sheetId="3" r:id="rId1"/>
    <sheet name="WEB CELULOSA" sheetId="1" r:id="rId2"/>
    <sheet name="WEB RENOVABLES" sheetId="2" r:id="rId3"/>
  </sheets>
  <definedNames>
    <definedName name="AS2DocOpenMode" hidden="1">"AS2DocumentEdit"</definedName>
    <definedName name="BALANCE_EUROS">#REF!</definedName>
    <definedName name="CASHFLOWMES">#REF!</definedName>
    <definedName name="CashFlows">#REF!</definedName>
    <definedName name="Covenants">#REF!</definedName>
    <definedName name="Currencies">#REF!</definedName>
    <definedName name="end">#REF!</definedName>
    <definedName name="Headroom">#REF!</definedName>
    <definedName name="MASHFLOWMES">#REF!</definedName>
    <definedName name="Months">#REF!</definedName>
    <definedName name="st">#REF!</definedName>
    <definedName name="Unit">#REF!</definedName>
    <definedName name="wrn.Aging._.and._.Trend._.Analysis." hidden="1">{#N/A,#N/A,FALSE,"Aging Summary";#N/A,#N/A,FALSE,"Ratio Analysis";#N/A,#N/A,FALSE,"Test 120 Day Accts";#N/A,#N/A,FALSE,"Tickmarks"}</definedName>
    <definedName name="Yea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116" i="3" l="1"/>
  <c r="BD68" i="2" l="1"/>
  <c r="BD68" i="3" l="1"/>
  <c r="BD24" i="2"/>
  <c r="BC24" i="2"/>
  <c r="BD62" i="2"/>
  <c r="BC62" i="2"/>
  <c r="BC68" i="2"/>
  <c r="BD83" i="2"/>
  <c r="BC83" i="2"/>
  <c r="BC91" i="1"/>
  <c r="BC89" i="1"/>
  <c r="BB89" i="1"/>
  <c r="BD88" i="1"/>
  <c r="BC88" i="1"/>
  <c r="BD74" i="1"/>
  <c r="BC74" i="1"/>
  <c r="BC67" i="1"/>
  <c r="BD65" i="1"/>
  <c r="BD67" i="1" s="1"/>
  <c r="BC65" i="1"/>
  <c r="BC63" i="1"/>
  <c r="BB63" i="1"/>
  <c r="BD36" i="1"/>
  <c r="BC36" i="1"/>
  <c r="BB36" i="1"/>
  <c r="BD30" i="1"/>
  <c r="BC30" i="1"/>
  <c r="BB30" i="1"/>
  <c r="BA30" i="1"/>
  <c r="BD89" i="1" l="1"/>
  <c r="BA66" i="2" l="1"/>
  <c r="AZ66" i="2"/>
  <c r="BB65" i="1"/>
  <c r="BB67" i="1" s="1"/>
  <c r="BB70" i="1" s="1"/>
  <c r="BA72" i="1"/>
  <c r="BA71" i="1"/>
  <c r="AZ72" i="1"/>
  <c r="AZ71" i="1"/>
  <c r="AK116" i="3"/>
  <c r="J116" i="3"/>
  <c r="I116" i="3"/>
  <c r="H116" i="3"/>
  <c r="BB115" i="3"/>
  <c r="BA115" i="3"/>
  <c r="AZ115" i="3"/>
  <c r="AY115" i="3"/>
  <c r="AX115" i="3"/>
  <c r="AW115" i="3"/>
  <c r="AT115" i="3"/>
  <c r="AS115" i="3"/>
  <c r="AR115" i="3"/>
  <c r="AQ115" i="3"/>
  <c r="AP115" i="3"/>
  <c r="AO115" i="3"/>
  <c r="AO117" i="3" s="1"/>
  <c r="AL115" i="3"/>
  <c r="AK115" i="3"/>
  <c r="AJ115" i="3"/>
  <c r="AI115" i="3"/>
  <c r="AH115" i="3"/>
  <c r="AG115" i="3"/>
  <c r="AF115" i="3"/>
  <c r="AE115" i="3"/>
  <c r="AD115" i="3"/>
  <c r="AC115" i="3"/>
  <c r="AB115" i="3"/>
  <c r="AA115" i="3"/>
  <c r="Z115" i="3"/>
  <c r="Y115" i="3"/>
  <c r="X115" i="3"/>
  <c r="W115" i="3"/>
  <c r="V115" i="3"/>
  <c r="U115" i="3"/>
  <c r="T115" i="3"/>
  <c r="S115" i="3"/>
  <c r="R115" i="3"/>
  <c r="Q115" i="3"/>
  <c r="P115" i="3"/>
  <c r="O115" i="3"/>
  <c r="N115" i="3"/>
  <c r="M115" i="3"/>
  <c r="L115" i="3"/>
  <c r="K115" i="3"/>
  <c r="J115" i="3"/>
  <c r="I115" i="3"/>
  <c r="H115" i="3"/>
  <c r="BB114" i="3"/>
  <c r="BA114" i="3"/>
  <c r="AZ114" i="3"/>
  <c r="AY114" i="3"/>
  <c r="AX114" i="3"/>
  <c r="AW114" i="3"/>
  <c r="AT114" i="3"/>
  <c r="AS114" i="3"/>
  <c r="AR114" i="3"/>
  <c r="AQ114" i="3"/>
  <c r="AP114" i="3"/>
  <c r="AO114" i="3"/>
  <c r="AN114" i="3"/>
  <c r="AM114" i="3"/>
  <c r="AL114" i="3"/>
  <c r="AK114" i="3"/>
  <c r="AJ114" i="3"/>
  <c r="AI114" i="3"/>
  <c r="AH114" i="3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BB113" i="3"/>
  <c r="BA113" i="3"/>
  <c r="AZ113" i="3"/>
  <c r="AY113" i="3"/>
  <c r="AX113" i="3"/>
  <c r="AW113" i="3"/>
  <c r="AT113" i="3"/>
  <c r="AS113" i="3"/>
  <c r="AR113" i="3"/>
  <c r="AQ113" i="3"/>
  <c r="AP113" i="3"/>
  <c r="AO113" i="3"/>
  <c r="AN113" i="3"/>
  <c r="AM113" i="3"/>
  <c r="AL113" i="3"/>
  <c r="AK113" i="3"/>
  <c r="AJ113" i="3"/>
  <c r="AI113" i="3"/>
  <c r="AH113" i="3"/>
  <c r="AG113" i="3"/>
  <c r="AF113" i="3"/>
  <c r="AE113" i="3"/>
  <c r="AD113" i="3"/>
  <c r="AC113" i="3"/>
  <c r="AB113" i="3"/>
  <c r="AA113" i="3"/>
  <c r="Z113" i="3"/>
  <c r="Y113" i="3"/>
  <c r="X113" i="3"/>
  <c r="W113" i="3"/>
  <c r="V113" i="3"/>
  <c r="U113" i="3"/>
  <c r="T113" i="3"/>
  <c r="S113" i="3"/>
  <c r="R113" i="3"/>
  <c r="Q113" i="3"/>
  <c r="P113" i="3"/>
  <c r="O113" i="3"/>
  <c r="N113" i="3"/>
  <c r="M113" i="3"/>
  <c r="L113" i="3"/>
  <c r="K113" i="3"/>
  <c r="J113" i="3"/>
  <c r="I113" i="3"/>
  <c r="H113" i="3"/>
  <c r="G113" i="3"/>
  <c r="F113" i="3"/>
  <c r="E113" i="3"/>
  <c r="D113" i="3"/>
  <c r="BB111" i="3"/>
  <c r="BA111" i="3"/>
  <c r="AZ111" i="3"/>
  <c r="AZ68" i="3" s="1"/>
  <c r="AY111" i="3"/>
  <c r="AX111" i="3"/>
  <c r="AW111" i="3"/>
  <c r="AT111" i="3"/>
  <c r="AS111" i="3"/>
  <c r="AR111" i="3"/>
  <c r="AQ111" i="3"/>
  <c r="AP111" i="3"/>
  <c r="AO111" i="3"/>
  <c r="AT116" i="3" s="1"/>
  <c r="AN111" i="3"/>
  <c r="AM111" i="3"/>
  <c r="AL111" i="3"/>
  <c r="AK111" i="3"/>
  <c r="AK68" i="3" s="1"/>
  <c r="AJ111" i="3"/>
  <c r="AO116" i="3" s="1"/>
  <c r="AI111" i="3"/>
  <c r="AN116" i="3" s="1"/>
  <c r="AH111" i="3"/>
  <c r="AM116" i="3" s="1"/>
  <c r="AG111" i="3"/>
  <c r="AH68" i="3" s="1"/>
  <c r="AF111" i="3"/>
  <c r="AE111" i="3"/>
  <c r="AE68" i="3" s="1"/>
  <c r="AD111" i="3"/>
  <c r="AC111" i="3"/>
  <c r="AB111" i="3"/>
  <c r="AC68" i="3" s="1"/>
  <c r="AC67" i="3" s="1"/>
  <c r="AA111" i="3"/>
  <c r="AF116" i="3" s="1"/>
  <c r="Z111" i="3"/>
  <c r="Y111" i="3"/>
  <c r="AD116" i="3" s="1"/>
  <c r="X111" i="3"/>
  <c r="W111" i="3"/>
  <c r="W68" i="3" s="1"/>
  <c r="V111" i="3"/>
  <c r="AA116" i="3" s="1"/>
  <c r="U111" i="3"/>
  <c r="Z116" i="3" s="1"/>
  <c r="T111" i="3"/>
  <c r="Y116" i="3" s="1"/>
  <c r="S111" i="3"/>
  <c r="T68" i="3" s="1"/>
  <c r="R111" i="3"/>
  <c r="R68" i="3" s="1"/>
  <c r="Q111" i="3"/>
  <c r="R116" i="3" s="1"/>
  <c r="P111" i="3"/>
  <c r="O111" i="3"/>
  <c r="N111" i="3"/>
  <c r="O68" i="3" s="1"/>
  <c r="M111" i="3"/>
  <c r="M68" i="3" s="1"/>
  <c r="L111" i="3"/>
  <c r="K111" i="3"/>
  <c r="P116" i="3" s="1"/>
  <c r="J111" i="3"/>
  <c r="O116" i="3" s="1"/>
  <c r="I111" i="3"/>
  <c r="I68" i="3" s="1"/>
  <c r="H111" i="3"/>
  <c r="AK93" i="3"/>
  <c r="AN115" i="3" s="1"/>
  <c r="BA91" i="3"/>
  <c r="AZ91" i="3"/>
  <c r="AY91" i="3"/>
  <c r="AX91" i="3"/>
  <c r="AW91" i="3"/>
  <c r="AT91" i="3"/>
  <c r="AS91" i="3"/>
  <c r="AR91" i="3"/>
  <c r="AQ91" i="3"/>
  <c r="AP91" i="3"/>
  <c r="AO91" i="3"/>
  <c r="AN91" i="3"/>
  <c r="AM91" i="3"/>
  <c r="AL91" i="3"/>
  <c r="AK91" i="3"/>
  <c r="AJ91" i="3"/>
  <c r="AI91" i="3"/>
  <c r="AH91" i="3"/>
  <c r="AG91" i="3"/>
  <c r="AF91" i="3"/>
  <c r="AE91" i="3"/>
  <c r="AD91" i="3"/>
  <c r="AC91" i="3"/>
  <c r="AB91" i="3"/>
  <c r="AA91" i="3"/>
  <c r="Z91" i="3"/>
  <c r="Y91" i="3"/>
  <c r="X91" i="3"/>
  <c r="W91" i="3"/>
  <c r="V91" i="3"/>
  <c r="U91" i="3"/>
  <c r="T91" i="3"/>
  <c r="S91" i="3"/>
  <c r="R91" i="3"/>
  <c r="Q91" i="3"/>
  <c r="P91" i="3"/>
  <c r="O91" i="3"/>
  <c r="N91" i="3"/>
  <c r="M91" i="3"/>
  <c r="L91" i="3"/>
  <c r="BB70" i="3"/>
  <c r="BA70" i="3"/>
  <c r="AZ70" i="3"/>
  <c r="AY70" i="3"/>
  <c r="AX70" i="3"/>
  <c r="AW70" i="3"/>
  <c r="AT70" i="3"/>
  <c r="AS70" i="3"/>
  <c r="AR70" i="3"/>
  <c r="AQ70" i="3"/>
  <c r="AP70" i="3"/>
  <c r="AO70" i="3"/>
  <c r="AN70" i="3"/>
  <c r="AM70" i="3"/>
  <c r="AL70" i="3"/>
  <c r="AK70" i="3"/>
  <c r="AJ70" i="3"/>
  <c r="AI70" i="3"/>
  <c r="AH70" i="3"/>
  <c r="AG70" i="3"/>
  <c r="AF70" i="3"/>
  <c r="AE70" i="3"/>
  <c r="AD70" i="3"/>
  <c r="AC70" i="3"/>
  <c r="AB70" i="3"/>
  <c r="AA70" i="3"/>
  <c r="Z70" i="3"/>
  <c r="Y70" i="3"/>
  <c r="X70" i="3"/>
  <c r="W70" i="3"/>
  <c r="V70" i="3"/>
  <c r="U70" i="3"/>
  <c r="T70" i="3"/>
  <c r="S70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D70" i="3"/>
  <c r="AY68" i="3"/>
  <c r="AR68" i="3"/>
  <c r="AQ68" i="3"/>
  <c r="AP68" i="3"/>
  <c r="AN68" i="3"/>
  <c r="AM68" i="3"/>
  <c r="AL68" i="3"/>
  <c r="AL67" i="3" s="1"/>
  <c r="AJ68" i="3"/>
  <c r="AI68" i="3"/>
  <c r="AD68" i="3"/>
  <c r="AB68" i="3"/>
  <c r="Z68" i="3"/>
  <c r="Y68" i="3"/>
  <c r="X68" i="3"/>
  <c r="V68" i="3"/>
  <c r="U68" i="3"/>
  <c r="P68" i="3"/>
  <c r="N68" i="3"/>
  <c r="L68" i="3"/>
  <c r="K68" i="3"/>
  <c r="J68" i="3"/>
  <c r="BB66" i="3"/>
  <c r="BA66" i="3"/>
  <c r="AZ66" i="3"/>
  <c r="AY66" i="3"/>
  <c r="AT66" i="3"/>
  <c r="AS66" i="3"/>
  <c r="AR66" i="3"/>
  <c r="AQ66" i="3"/>
  <c r="AP66" i="3"/>
  <c r="AO66" i="3"/>
  <c r="AN66" i="3"/>
  <c r="AM66" i="3"/>
  <c r="AL66" i="3"/>
  <c r="AJ66" i="3"/>
  <c r="AI66" i="3"/>
  <c r="AH66" i="3"/>
  <c r="AG66" i="3"/>
  <c r="AF66" i="3"/>
  <c r="AE66" i="3"/>
  <c r="AD66" i="3"/>
  <c r="AC66" i="3"/>
  <c r="AB66" i="3"/>
  <c r="AA66" i="3"/>
  <c r="Z66" i="3"/>
  <c r="Y66" i="3"/>
  <c r="X66" i="3"/>
  <c r="W66" i="3"/>
  <c r="V66" i="3"/>
  <c r="U66" i="3"/>
  <c r="T66" i="3"/>
  <c r="S66" i="3"/>
  <c r="R66" i="3"/>
  <c r="Q66" i="3"/>
  <c r="P66" i="3"/>
  <c r="O66" i="3"/>
  <c r="N66" i="3"/>
  <c r="M66" i="3"/>
  <c r="L66" i="3"/>
  <c r="K66" i="3"/>
  <c r="J66" i="3"/>
  <c r="I66" i="3"/>
  <c r="BB65" i="3"/>
  <c r="BA65" i="3"/>
  <c r="AZ65" i="3"/>
  <c r="AY65" i="3"/>
  <c r="AS65" i="3"/>
  <c r="AR65" i="3"/>
  <c r="AQ65" i="3"/>
  <c r="AP65" i="3"/>
  <c r="AO65" i="3"/>
  <c r="AN65" i="3"/>
  <c r="AM65" i="3"/>
  <c r="AL65" i="3"/>
  <c r="AK65" i="3"/>
  <c r="AJ65" i="3"/>
  <c r="AI65" i="3"/>
  <c r="AH65" i="3"/>
  <c r="AG65" i="3"/>
  <c r="AF65" i="3"/>
  <c r="AE65" i="3"/>
  <c r="AD65" i="3"/>
  <c r="AC65" i="3"/>
  <c r="AB65" i="3"/>
  <c r="AA65" i="3"/>
  <c r="Z65" i="3"/>
  <c r="Y65" i="3"/>
  <c r="X65" i="3"/>
  <c r="W65" i="3"/>
  <c r="V65" i="3"/>
  <c r="U65" i="3"/>
  <c r="T65" i="3"/>
  <c r="S65" i="3"/>
  <c r="R65" i="3"/>
  <c r="Q65" i="3"/>
  <c r="P65" i="3"/>
  <c r="O65" i="3"/>
  <c r="N65" i="3"/>
  <c r="M65" i="3"/>
  <c r="L65" i="3"/>
  <c r="K65" i="3"/>
  <c r="J65" i="3"/>
  <c r="I65" i="3"/>
  <c r="BB64" i="3"/>
  <c r="BA64" i="3"/>
  <c r="AZ64" i="3"/>
  <c r="AY64" i="3"/>
  <c r="AT64" i="3"/>
  <c r="AS64" i="3"/>
  <c r="AR64" i="3"/>
  <c r="AP64" i="3"/>
  <c r="AN64" i="3"/>
  <c r="AM64" i="3"/>
  <c r="AL64" i="3"/>
  <c r="AK64" i="3"/>
  <c r="AJ64" i="3"/>
  <c r="AJ67" i="3" s="1"/>
  <c r="AI64" i="3"/>
  <c r="AH64" i="3"/>
  <c r="AG64" i="3"/>
  <c r="AF64" i="3"/>
  <c r="AE64" i="3"/>
  <c r="AD64" i="3"/>
  <c r="AC64" i="3"/>
  <c r="AB64" i="3"/>
  <c r="AA64" i="3"/>
  <c r="Z64" i="3"/>
  <c r="Y64" i="3"/>
  <c r="X64" i="3"/>
  <c r="W64" i="3"/>
  <c r="V64" i="3"/>
  <c r="U64" i="3"/>
  <c r="T64" i="3"/>
  <c r="S64" i="3"/>
  <c r="R64" i="3"/>
  <c r="Q64" i="3"/>
  <c r="P64" i="3"/>
  <c r="O64" i="3"/>
  <c r="N64" i="3"/>
  <c r="M64" i="3"/>
  <c r="L64" i="3"/>
  <c r="K64" i="3"/>
  <c r="J64" i="3"/>
  <c r="I64" i="3"/>
  <c r="AT63" i="3"/>
  <c r="AS63" i="3"/>
  <c r="AR63" i="3"/>
  <c r="AQ63" i="3"/>
  <c r="AP63" i="3"/>
  <c r="AO63" i="3"/>
  <c r="AN63" i="3"/>
  <c r="AN67" i="3" s="1"/>
  <c r="AM63" i="3"/>
  <c r="AL63" i="3"/>
  <c r="AJ63" i="3"/>
  <c r="AI63" i="3"/>
  <c r="AH63" i="3"/>
  <c r="AG63" i="3"/>
  <c r="AF63" i="3"/>
  <c r="AE63" i="3"/>
  <c r="AD63" i="3"/>
  <c r="AC63" i="3"/>
  <c r="X63" i="3"/>
  <c r="BA62" i="3"/>
  <c r="AR62" i="3"/>
  <c r="AQ62" i="3"/>
  <c r="AP62" i="3"/>
  <c r="AM62" i="3"/>
  <c r="AL62" i="3"/>
  <c r="AC62" i="3"/>
  <c r="AB62" i="3"/>
  <c r="Y62" i="3"/>
  <c r="X62" i="3"/>
  <c r="O62" i="3"/>
  <c r="N62" i="3"/>
  <c r="K62" i="3"/>
  <c r="G62" i="3"/>
  <c r="F62" i="3"/>
  <c r="E62" i="3"/>
  <c r="D62" i="3"/>
  <c r="AK60" i="3"/>
  <c r="BB58" i="3"/>
  <c r="AZ58" i="3"/>
  <c r="AY58" i="3"/>
  <c r="AX58" i="3"/>
  <c r="AW58" i="3"/>
  <c r="AS58" i="3"/>
  <c r="AR58" i="3"/>
  <c r="AP58" i="3"/>
  <c r="AN58" i="3"/>
  <c r="AM58" i="3"/>
  <c r="AL58" i="3"/>
  <c r="AK58" i="3"/>
  <c r="AJ58" i="3"/>
  <c r="AI58" i="3"/>
  <c r="AH58" i="3"/>
  <c r="AG58" i="3"/>
  <c r="AF58" i="3"/>
  <c r="AE58" i="3"/>
  <c r="AD58" i="3"/>
  <c r="AC58" i="3"/>
  <c r="AB58" i="3"/>
  <c r="X58" i="3"/>
  <c r="W58" i="3"/>
  <c r="V58" i="3"/>
  <c r="T58" i="3"/>
  <c r="S58" i="3"/>
  <c r="R58" i="3"/>
  <c r="Q58" i="3"/>
  <c r="P58" i="3"/>
  <c r="O58" i="3"/>
  <c r="N58" i="3"/>
  <c r="M58" i="3"/>
  <c r="AT57" i="3"/>
  <c r="AT56" i="3" s="1"/>
  <c r="AT58" i="3" s="1"/>
  <c r="AQ56" i="3"/>
  <c r="AQ64" i="3" s="1"/>
  <c r="AO56" i="3"/>
  <c r="AO64" i="3" s="1"/>
  <c r="AY55" i="3"/>
  <c r="AK55" i="3"/>
  <c r="AB55" i="3"/>
  <c r="AA55" i="3"/>
  <c r="AA58" i="3" s="1"/>
  <c r="Z55" i="3"/>
  <c r="Z58" i="3" s="1"/>
  <c r="Y55" i="3"/>
  <c r="Y58" i="3" s="1"/>
  <c r="X55" i="3"/>
  <c r="W55" i="3"/>
  <c r="V55" i="3"/>
  <c r="U55" i="3"/>
  <c r="U58" i="3" s="1"/>
  <c r="AK54" i="3"/>
  <c r="AK66" i="3" s="1"/>
  <c r="BB52" i="3"/>
  <c r="BB63" i="3" s="1"/>
  <c r="BA52" i="3"/>
  <c r="BA63" i="3" s="1"/>
  <c r="AZ52" i="3"/>
  <c r="AZ63" i="3" s="1"/>
  <c r="AY52" i="3"/>
  <c r="AY63" i="3" s="1"/>
  <c r="AX52" i="3"/>
  <c r="AW52" i="3"/>
  <c r="AK52" i="3"/>
  <c r="AK63" i="3" s="1"/>
  <c r="AB52" i="3"/>
  <c r="AB63" i="3" s="1"/>
  <c r="R52" i="3"/>
  <c r="R63" i="3" s="1"/>
  <c r="O52" i="3"/>
  <c r="AP50" i="3"/>
  <c r="AK50" i="3"/>
  <c r="AP49" i="3"/>
  <c r="AK49" i="3"/>
  <c r="AP48" i="3"/>
  <c r="AK48" i="3"/>
  <c r="AP47" i="3"/>
  <c r="AK47" i="3"/>
  <c r="AP46" i="3"/>
  <c r="AK46" i="3"/>
  <c r="AP44" i="3"/>
  <c r="AK44" i="3"/>
  <c r="Y44" i="3"/>
  <c r="Y52" i="3" s="1"/>
  <c r="W44" i="3"/>
  <c r="W52" i="3" s="1"/>
  <c r="W63" i="3" s="1"/>
  <c r="U44" i="3"/>
  <c r="U52" i="3" s="1"/>
  <c r="U63" i="3" s="1"/>
  <c r="T44" i="3"/>
  <c r="T52" i="3" s="1"/>
  <c r="S44" i="3"/>
  <c r="S52" i="3" s="1"/>
  <c r="O44" i="3"/>
  <c r="K44" i="3"/>
  <c r="K52" i="3" s="1"/>
  <c r="J44" i="3"/>
  <c r="J52" i="3" s="1"/>
  <c r="I44" i="3"/>
  <c r="I52" i="3" s="1"/>
  <c r="AP43" i="3"/>
  <c r="AK43" i="3"/>
  <c r="AB43" i="3"/>
  <c r="AA43" i="3"/>
  <c r="Z43" i="3"/>
  <c r="Y43" i="3"/>
  <c r="X43" i="3"/>
  <c r="AP42" i="3"/>
  <c r="AK42" i="3"/>
  <c r="AP41" i="3"/>
  <c r="AK41" i="3"/>
  <c r="AP40" i="3"/>
  <c r="AK40" i="3"/>
  <c r="AP39" i="3"/>
  <c r="AK39" i="3"/>
  <c r="AP38" i="3"/>
  <c r="AK38" i="3"/>
  <c r="AP37" i="3"/>
  <c r="AK37" i="3"/>
  <c r="AP36" i="3"/>
  <c r="AK36" i="3"/>
  <c r="AP35" i="3"/>
  <c r="AK35" i="3"/>
  <c r="AP34" i="3"/>
  <c r="AK34" i="3"/>
  <c r="AR33" i="3"/>
  <c r="AR31" i="3" s="1"/>
  <c r="AP33" i="3"/>
  <c r="AK33" i="3"/>
  <c r="AB33" i="3"/>
  <c r="AB44" i="3" s="1"/>
  <c r="AA33" i="3"/>
  <c r="AA44" i="3" s="1"/>
  <c r="AA52" i="3" s="1"/>
  <c r="Z33" i="3"/>
  <c r="Z44" i="3" s="1"/>
  <c r="Z52" i="3" s="1"/>
  <c r="Y33" i="3"/>
  <c r="W33" i="3"/>
  <c r="V33" i="3"/>
  <c r="V44" i="3" s="1"/>
  <c r="V52" i="3" s="1"/>
  <c r="U33" i="3"/>
  <c r="T33" i="3"/>
  <c r="S33" i="3"/>
  <c r="R33" i="3"/>
  <c r="R44" i="3" s="1"/>
  <c r="Q33" i="3"/>
  <c r="Q44" i="3" s="1"/>
  <c r="Q52" i="3" s="1"/>
  <c r="P33" i="3"/>
  <c r="P44" i="3" s="1"/>
  <c r="P52" i="3" s="1"/>
  <c r="P63" i="3" s="1"/>
  <c r="O33" i="3"/>
  <c r="N33" i="3"/>
  <c r="N44" i="3" s="1"/>
  <c r="N52" i="3" s="1"/>
  <c r="M33" i="3"/>
  <c r="M44" i="3" s="1"/>
  <c r="M52" i="3" s="1"/>
  <c r="M63" i="3" s="1"/>
  <c r="L33" i="3"/>
  <c r="L44" i="3" s="1"/>
  <c r="L52" i="3" s="1"/>
  <c r="K33" i="3"/>
  <c r="J33" i="3"/>
  <c r="I33" i="3"/>
  <c r="H33" i="3"/>
  <c r="H44" i="3" s="1"/>
  <c r="H52" i="3" s="1"/>
  <c r="AP32" i="3"/>
  <c r="AK32" i="3"/>
  <c r="AP31" i="3"/>
  <c r="AK31" i="3"/>
  <c r="AP30" i="3"/>
  <c r="AK30" i="3"/>
  <c r="X30" i="3"/>
  <c r="X33" i="3" s="1"/>
  <c r="X44" i="3" s="1"/>
  <c r="X52" i="3" s="1"/>
  <c r="AP29" i="3"/>
  <c r="AK29" i="3"/>
  <c r="AP28" i="3"/>
  <c r="AK28" i="3"/>
  <c r="AP27" i="3"/>
  <c r="AK27" i="3"/>
  <c r="AR26" i="3"/>
  <c r="AP26" i="3"/>
  <c r="AK26" i="3"/>
  <c r="BB25" i="3"/>
  <c r="BB62" i="3" s="1"/>
  <c r="BA25" i="3"/>
  <c r="AZ25" i="3"/>
  <c r="AZ62" i="3" s="1"/>
  <c r="AY25" i="3"/>
  <c r="AY62" i="3" s="1"/>
  <c r="AX25" i="3"/>
  <c r="AX62" i="3" s="1"/>
  <c r="AW25" i="3"/>
  <c r="AW62" i="3" s="1"/>
  <c r="AT25" i="3"/>
  <c r="AT62" i="3" s="1"/>
  <c r="AS25" i="3"/>
  <c r="AS62" i="3" s="1"/>
  <c r="AR25" i="3"/>
  <c r="AQ25" i="3"/>
  <c r="AP25" i="3"/>
  <c r="AO25" i="3"/>
  <c r="AO62" i="3" s="1"/>
  <c r="AN25" i="3"/>
  <c r="AN62" i="3" s="1"/>
  <c r="AM25" i="3"/>
  <c r="AL25" i="3"/>
  <c r="AK25" i="3"/>
  <c r="AK62" i="3" s="1"/>
  <c r="AJ25" i="3"/>
  <c r="AJ62" i="3" s="1"/>
  <c r="AI25" i="3"/>
  <c r="AI62" i="3" s="1"/>
  <c r="AH25" i="3"/>
  <c r="AH62" i="3" s="1"/>
  <c r="AG25" i="3"/>
  <c r="AG62" i="3" s="1"/>
  <c r="AF25" i="3"/>
  <c r="AF62" i="3" s="1"/>
  <c r="AE25" i="3"/>
  <c r="AE62" i="3" s="1"/>
  <c r="AD25" i="3"/>
  <c r="AD62" i="3" s="1"/>
  <c r="AC25" i="3"/>
  <c r="AB25" i="3"/>
  <c r="AA25" i="3"/>
  <c r="AA62" i="3" s="1"/>
  <c r="Z25" i="3"/>
  <c r="Z62" i="3" s="1"/>
  <c r="Y25" i="3"/>
  <c r="X25" i="3"/>
  <c r="W25" i="3"/>
  <c r="W62" i="3" s="1"/>
  <c r="V25" i="3"/>
  <c r="V62" i="3" s="1"/>
  <c r="U25" i="3"/>
  <c r="U62" i="3" s="1"/>
  <c r="T25" i="3"/>
  <c r="T62" i="3" s="1"/>
  <c r="S25" i="3"/>
  <c r="S62" i="3" s="1"/>
  <c r="R25" i="3"/>
  <c r="R62" i="3" s="1"/>
  <c r="Q25" i="3"/>
  <c r="Q62" i="3" s="1"/>
  <c r="P25" i="3"/>
  <c r="P62" i="3" s="1"/>
  <c r="O25" i="3"/>
  <c r="N25" i="3"/>
  <c r="M25" i="3"/>
  <c r="M62" i="3" s="1"/>
  <c r="L25" i="3"/>
  <c r="L62" i="3" s="1"/>
  <c r="K25" i="3"/>
  <c r="J25" i="3"/>
  <c r="J62" i="3" s="1"/>
  <c r="I25" i="3"/>
  <c r="I62" i="3" s="1"/>
  <c r="H25" i="3"/>
  <c r="H62" i="3" s="1"/>
  <c r="G25" i="3"/>
  <c r="F25" i="3"/>
  <c r="E25" i="3"/>
  <c r="D25" i="3"/>
  <c r="BB15" i="3"/>
  <c r="BA15" i="3"/>
  <c r="AZ15" i="3"/>
  <c r="AY15" i="3"/>
  <c r="AX15" i="3"/>
  <c r="AW15" i="3"/>
  <c r="AT15" i="3"/>
  <c r="AS15" i="3"/>
  <c r="AR15" i="3"/>
  <c r="AQ15" i="3"/>
  <c r="U15" i="3"/>
  <c r="BB9" i="3"/>
  <c r="BA9" i="3"/>
  <c r="AZ9" i="3"/>
  <c r="AY9" i="3"/>
  <c r="AX9" i="3"/>
  <c r="AW9" i="3"/>
  <c r="AT9" i="3"/>
  <c r="AS9" i="3"/>
  <c r="AR9" i="3"/>
  <c r="AQ9" i="3"/>
  <c r="M4" i="3"/>
  <c r="L4" i="3"/>
  <c r="K4" i="3"/>
  <c r="J4" i="3"/>
  <c r="I4" i="3"/>
  <c r="H4" i="3"/>
  <c r="G4" i="3"/>
  <c r="F4" i="3"/>
  <c r="E4" i="3"/>
  <c r="D4" i="3"/>
  <c r="AZ86" i="2"/>
  <c r="AY86" i="2"/>
  <c r="AX86" i="2"/>
  <c r="AW86" i="2"/>
  <c r="AT86" i="2"/>
  <c r="AS86" i="2"/>
  <c r="AR86" i="2"/>
  <c r="AQ86" i="2"/>
  <c r="AP86" i="2"/>
  <c r="AO86" i="2"/>
  <c r="AN86" i="2"/>
  <c r="AM86" i="2"/>
  <c r="AL86" i="2"/>
  <c r="AK86" i="2"/>
  <c r="AJ86" i="2"/>
  <c r="AI86" i="2"/>
  <c r="AH86" i="2"/>
  <c r="AG86" i="2"/>
  <c r="AF86" i="2"/>
  <c r="AE86" i="2"/>
  <c r="AD86" i="2"/>
  <c r="AC86" i="2"/>
  <c r="AB86" i="2"/>
  <c r="AA86" i="2"/>
  <c r="Z86" i="2"/>
  <c r="Y86" i="2"/>
  <c r="X86" i="2"/>
  <c r="W86" i="2"/>
  <c r="V86" i="2"/>
  <c r="U86" i="2"/>
  <c r="T86" i="2"/>
  <c r="S86" i="2"/>
  <c r="R86" i="2"/>
  <c r="Q86" i="2"/>
  <c r="P86" i="2"/>
  <c r="O86" i="2"/>
  <c r="N86" i="2"/>
  <c r="M86" i="2"/>
  <c r="L86" i="2"/>
  <c r="K86" i="2"/>
  <c r="J86" i="2"/>
  <c r="I86" i="2"/>
  <c r="H86" i="2"/>
  <c r="AZ85" i="2"/>
  <c r="AY85" i="2"/>
  <c r="AX85" i="2"/>
  <c r="AW85" i="2"/>
  <c r="AW87" i="2" s="1"/>
  <c r="AT85" i="2"/>
  <c r="AS85" i="2"/>
  <c r="AR85" i="2"/>
  <c r="AQ85" i="2"/>
  <c r="AJ85" i="2"/>
  <c r="AI85" i="2"/>
  <c r="AH85" i="2"/>
  <c r="AG85" i="2"/>
  <c r="AF85" i="2"/>
  <c r="AE85" i="2"/>
  <c r="AD85" i="2"/>
  <c r="AC85" i="2"/>
  <c r="AB85" i="2"/>
  <c r="AA85" i="2"/>
  <c r="Z85" i="2"/>
  <c r="Y85" i="2"/>
  <c r="X85" i="2"/>
  <c r="W85" i="2"/>
  <c r="V85" i="2"/>
  <c r="U85" i="2"/>
  <c r="T85" i="2"/>
  <c r="S85" i="2"/>
  <c r="R85" i="2"/>
  <c r="Q85" i="2"/>
  <c r="P85" i="2"/>
  <c r="O85" i="2"/>
  <c r="N85" i="2"/>
  <c r="BA84" i="2"/>
  <c r="BA89" i="1" s="1"/>
  <c r="AK84" i="2"/>
  <c r="AM85" i="2" s="1"/>
  <c r="H84" i="2"/>
  <c r="K85" i="2" s="1"/>
  <c r="BB83" i="2"/>
  <c r="BA83" i="2"/>
  <c r="AZ83" i="2"/>
  <c r="AY83" i="2"/>
  <c r="AX83" i="2"/>
  <c r="AW83" i="2"/>
  <c r="AT83" i="2"/>
  <c r="AT87" i="2" s="1"/>
  <c r="AS83" i="2"/>
  <c r="AR83" i="2"/>
  <c r="AQ83" i="2"/>
  <c r="AP83" i="2"/>
  <c r="AO83" i="2"/>
  <c r="AN83" i="2"/>
  <c r="AM83" i="2"/>
  <c r="AL83" i="2"/>
  <c r="AK83" i="2"/>
  <c r="AJ83" i="2"/>
  <c r="AJ87" i="2" s="1"/>
  <c r="AI83" i="2"/>
  <c r="AH83" i="2"/>
  <c r="AG83" i="2"/>
  <c r="AF83" i="2"/>
  <c r="AE83" i="2"/>
  <c r="AD83" i="2"/>
  <c r="AC83" i="2"/>
  <c r="AB83" i="2"/>
  <c r="AA83" i="2"/>
  <c r="Z83" i="2"/>
  <c r="Y83" i="2"/>
  <c r="X83" i="2"/>
  <c r="X87" i="2" s="1"/>
  <c r="W83" i="2"/>
  <c r="V83" i="2"/>
  <c r="U83" i="2"/>
  <c r="T83" i="2"/>
  <c r="S83" i="2"/>
  <c r="R83" i="2"/>
  <c r="Q83" i="2"/>
  <c r="P83" i="2"/>
  <c r="O83" i="2"/>
  <c r="N83" i="2"/>
  <c r="M83" i="2"/>
  <c r="L83" i="2"/>
  <c r="K83" i="2"/>
  <c r="J83" i="2"/>
  <c r="I83" i="2"/>
  <c r="H83" i="2"/>
  <c r="BB82" i="2"/>
  <c r="BA82" i="2"/>
  <c r="AZ82" i="2"/>
  <c r="AY82" i="2"/>
  <c r="AX82" i="2"/>
  <c r="AW82" i="2"/>
  <c r="AT82" i="2"/>
  <c r="AS82" i="2"/>
  <c r="AR82" i="2"/>
  <c r="AQ82" i="2"/>
  <c r="AP82" i="2"/>
  <c r="AO82" i="2"/>
  <c r="AN82" i="2"/>
  <c r="AM82" i="2"/>
  <c r="AL82" i="2"/>
  <c r="AK82" i="2"/>
  <c r="AJ82" i="2"/>
  <c r="AI82" i="2"/>
  <c r="AH82" i="2"/>
  <c r="AG82" i="2"/>
  <c r="AF82" i="2"/>
  <c r="AE82" i="2"/>
  <c r="AD82" i="2"/>
  <c r="AC82" i="2"/>
  <c r="AB82" i="2"/>
  <c r="AA82" i="2"/>
  <c r="Z82" i="2"/>
  <c r="Y82" i="2"/>
  <c r="X82" i="2"/>
  <c r="W82" i="2"/>
  <c r="V82" i="2"/>
  <c r="U82" i="2"/>
  <c r="T82" i="2"/>
  <c r="S82" i="2"/>
  <c r="R82" i="2"/>
  <c r="Q82" i="2"/>
  <c r="P82" i="2"/>
  <c r="O82" i="2"/>
  <c r="N82" i="2"/>
  <c r="M82" i="2"/>
  <c r="L82" i="2"/>
  <c r="K82" i="2"/>
  <c r="J82" i="2"/>
  <c r="I82" i="2"/>
  <c r="H82" i="2"/>
  <c r="G82" i="2"/>
  <c r="F82" i="2"/>
  <c r="E82" i="2"/>
  <c r="D82" i="2"/>
  <c r="BB70" i="2"/>
  <c r="BA70" i="2"/>
  <c r="AZ70" i="2"/>
  <c r="AY70" i="2"/>
  <c r="AX70" i="2"/>
  <c r="AW70" i="2"/>
  <c r="AT70" i="2"/>
  <c r="AS70" i="2"/>
  <c r="AR70" i="2"/>
  <c r="AQ70" i="2"/>
  <c r="AP70" i="2"/>
  <c r="AO70" i="2"/>
  <c r="AN70" i="2"/>
  <c r="AM70" i="2"/>
  <c r="AL70" i="2"/>
  <c r="AK70" i="2"/>
  <c r="AJ70" i="2"/>
  <c r="AI70" i="2"/>
  <c r="AH70" i="2"/>
  <c r="AG70" i="2"/>
  <c r="AF70" i="2"/>
  <c r="AE70" i="2"/>
  <c r="AD70" i="2"/>
  <c r="AC70" i="2"/>
  <c r="AB70" i="2"/>
  <c r="AA70" i="2"/>
  <c r="Z70" i="2"/>
  <c r="Y70" i="2"/>
  <c r="X70" i="2"/>
  <c r="W70" i="2"/>
  <c r="V70" i="2"/>
  <c r="U70" i="2"/>
  <c r="T70" i="2"/>
  <c r="S70" i="2"/>
  <c r="R70" i="2"/>
  <c r="Q70" i="2"/>
  <c r="P70" i="2"/>
  <c r="O70" i="2"/>
  <c r="N70" i="2"/>
  <c r="M70" i="2"/>
  <c r="L70" i="2"/>
  <c r="K70" i="2"/>
  <c r="J70" i="2"/>
  <c r="I70" i="2"/>
  <c r="H70" i="2"/>
  <c r="G70" i="2"/>
  <c r="F70" i="2"/>
  <c r="E70" i="2"/>
  <c r="D70" i="2"/>
  <c r="BB68" i="2"/>
  <c r="BA68" i="2"/>
  <c r="AZ68" i="2"/>
  <c r="AY68" i="2"/>
  <c r="AX68" i="2"/>
  <c r="AW68" i="2"/>
  <c r="AT68" i="2"/>
  <c r="AS68" i="2"/>
  <c r="AR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8" i="2"/>
  <c r="AD68" i="2"/>
  <c r="AC68" i="2"/>
  <c r="AB68" i="2"/>
  <c r="AA68" i="2"/>
  <c r="Z68" i="2"/>
  <c r="Y68" i="2"/>
  <c r="X68" i="2"/>
  <c r="W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AY66" i="2"/>
  <c r="AX66" i="2"/>
  <c r="AW66" i="2"/>
  <c r="AT66" i="2"/>
  <c r="AS66" i="2"/>
  <c r="AR66" i="2"/>
  <c r="AQ66" i="2"/>
  <c r="AP66" i="2"/>
  <c r="AP67" i="2" s="1"/>
  <c r="AO66" i="2"/>
  <c r="AN66" i="2"/>
  <c r="AM66" i="2"/>
  <c r="AL66" i="2"/>
  <c r="AK66" i="2"/>
  <c r="AJ66" i="2"/>
  <c r="AI66" i="2"/>
  <c r="AH66" i="2"/>
  <c r="AG66" i="2"/>
  <c r="AF66" i="2"/>
  <c r="AE66" i="2"/>
  <c r="AD66" i="2"/>
  <c r="AC66" i="2"/>
  <c r="AB66" i="2"/>
  <c r="AA66" i="2"/>
  <c r="Z66" i="2"/>
  <c r="Y66" i="2"/>
  <c r="X66" i="2"/>
  <c r="W66" i="2"/>
  <c r="V66" i="2"/>
  <c r="U66" i="2"/>
  <c r="T66" i="2"/>
  <c r="S66" i="2"/>
  <c r="S67" i="2" s="1"/>
  <c r="R66" i="2"/>
  <c r="Q66" i="2"/>
  <c r="P66" i="2"/>
  <c r="O66" i="2"/>
  <c r="N66" i="2"/>
  <c r="M66" i="2"/>
  <c r="L66" i="2"/>
  <c r="K66" i="2"/>
  <c r="J66" i="2"/>
  <c r="I66" i="2"/>
  <c r="H66" i="2"/>
  <c r="AW65" i="2"/>
  <c r="BB64" i="2"/>
  <c r="BA64" i="2"/>
  <c r="AZ64" i="2"/>
  <c r="AY64" i="2"/>
  <c r="AX64" i="2"/>
  <c r="AW64" i="2"/>
  <c r="AT64" i="2"/>
  <c r="AS64" i="2"/>
  <c r="AR64" i="2"/>
  <c r="AQ64" i="2"/>
  <c r="AP64" i="2"/>
  <c r="AO64" i="2"/>
  <c r="AN64" i="2"/>
  <c r="AM64" i="2"/>
  <c r="AL64" i="2"/>
  <c r="AK64" i="2"/>
  <c r="AJ64" i="2"/>
  <c r="AI64" i="2"/>
  <c r="AH64" i="2"/>
  <c r="AG64" i="2"/>
  <c r="AF64" i="2"/>
  <c r="AE64" i="2"/>
  <c r="AD64" i="2"/>
  <c r="AC64" i="2"/>
  <c r="AB64" i="2"/>
  <c r="AA64" i="2"/>
  <c r="Z64" i="2"/>
  <c r="Y64" i="2"/>
  <c r="X64" i="2"/>
  <c r="W64" i="2"/>
  <c r="V64" i="2"/>
  <c r="U64" i="2"/>
  <c r="T64" i="2"/>
  <c r="S64" i="2"/>
  <c r="R64" i="2"/>
  <c r="Q64" i="2"/>
  <c r="P64" i="2"/>
  <c r="O64" i="2"/>
  <c r="N64" i="2"/>
  <c r="M64" i="2"/>
  <c r="L64" i="2"/>
  <c r="K64" i="2"/>
  <c r="J64" i="2"/>
  <c r="I64" i="2"/>
  <c r="H64" i="2"/>
  <c r="G64" i="2"/>
  <c r="F64" i="2"/>
  <c r="E64" i="2"/>
  <c r="D64" i="2"/>
  <c r="BB62" i="2"/>
  <c r="BA62" i="2"/>
  <c r="BA65" i="2" s="1"/>
  <c r="AZ62" i="2"/>
  <c r="AZ65" i="2" s="1"/>
  <c r="AY62" i="2"/>
  <c r="AY65" i="2" s="1"/>
  <c r="AX62" i="2"/>
  <c r="AX65" i="2" s="1"/>
  <c r="AW62" i="2"/>
  <c r="AT62" i="2"/>
  <c r="AT65" i="2" s="1"/>
  <c r="AS62" i="2"/>
  <c r="AS65" i="2" s="1"/>
  <c r="AR62" i="2"/>
  <c r="AR65" i="2" s="1"/>
  <c r="AQ62" i="2"/>
  <c r="AQ65" i="2" s="1"/>
  <c r="AP62" i="2"/>
  <c r="AP65" i="2" s="1"/>
  <c r="AO62" i="2"/>
  <c r="AO65" i="2" s="1"/>
  <c r="AN62" i="2"/>
  <c r="AN65" i="2" s="1"/>
  <c r="AE62" i="2"/>
  <c r="AE65" i="2" s="1"/>
  <c r="AD62" i="2"/>
  <c r="AD65" i="2" s="1"/>
  <c r="AA62" i="2"/>
  <c r="AA65" i="2" s="1"/>
  <c r="Z62" i="2"/>
  <c r="Z65" i="2" s="1"/>
  <c r="X62" i="2"/>
  <c r="X65" i="2" s="1"/>
  <c r="W62" i="2"/>
  <c r="W65" i="2" s="1"/>
  <c r="V62" i="2"/>
  <c r="V65" i="2" s="1"/>
  <c r="U62" i="2"/>
  <c r="U65" i="2" s="1"/>
  <c r="T62" i="2"/>
  <c r="T65" i="2" s="1"/>
  <c r="S62" i="2"/>
  <c r="S65" i="2" s="1"/>
  <c r="R62" i="2"/>
  <c r="R65" i="2" s="1"/>
  <c r="Q62" i="2"/>
  <c r="Q65" i="2" s="1"/>
  <c r="P62" i="2"/>
  <c r="P65" i="2" s="1"/>
  <c r="O62" i="2"/>
  <c r="O65" i="2" s="1"/>
  <c r="N62" i="2"/>
  <c r="N65" i="2" s="1"/>
  <c r="M62" i="2"/>
  <c r="M65" i="2" s="1"/>
  <c r="L62" i="2"/>
  <c r="L65" i="2" s="1"/>
  <c r="K62" i="2"/>
  <c r="K65" i="2" s="1"/>
  <c r="J62" i="2"/>
  <c r="J65" i="2" s="1"/>
  <c r="I62" i="2"/>
  <c r="I65" i="2" s="1"/>
  <c r="H62" i="2"/>
  <c r="H65" i="2" s="1"/>
  <c r="G62" i="2"/>
  <c r="F62" i="2"/>
  <c r="E62" i="2"/>
  <c r="D62" i="2"/>
  <c r="AF59" i="2"/>
  <c r="AF60" i="2" s="1"/>
  <c r="AF62" i="2" s="1"/>
  <c r="AL58" i="2"/>
  <c r="AC56" i="2"/>
  <c r="AG56" i="2" s="1"/>
  <c r="Y56" i="2"/>
  <c r="Y58" i="2" s="1"/>
  <c r="Y60" i="2" s="1"/>
  <c r="AB60" i="2" s="1"/>
  <c r="AB62" i="2" s="1"/>
  <c r="AB65" i="2" s="1"/>
  <c r="BB53" i="2"/>
  <c r="BA53" i="2"/>
  <c r="AZ53" i="2"/>
  <c r="AY53" i="2"/>
  <c r="AX53" i="2"/>
  <c r="AW53" i="2"/>
  <c r="AT53" i="2"/>
  <c r="AS53" i="2"/>
  <c r="AR53" i="2"/>
  <c r="AQ53" i="2"/>
  <c r="AP53" i="2"/>
  <c r="AO53" i="2"/>
  <c r="AN53" i="2"/>
  <c r="AM53" i="2"/>
  <c r="AL53" i="2"/>
  <c r="AK53" i="2"/>
  <c r="AJ53" i="2"/>
  <c r="AI53" i="2"/>
  <c r="AH53" i="2"/>
  <c r="AG53" i="2"/>
  <c r="AF53" i="2"/>
  <c r="AE53" i="2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BB46" i="2"/>
  <c r="BA46" i="2"/>
  <c r="AZ46" i="2"/>
  <c r="AY46" i="2"/>
  <c r="AX46" i="2"/>
  <c r="AW46" i="2"/>
  <c r="AT46" i="2"/>
  <c r="AS46" i="2"/>
  <c r="AR46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AM44" i="2"/>
  <c r="AM62" i="2" s="1"/>
  <c r="AM65" i="2" s="1"/>
  <c r="AL44" i="2"/>
  <c r="AL62" i="2" s="1"/>
  <c r="AL65" i="2" s="1"/>
  <c r="AK44" i="2"/>
  <c r="AK62" i="2" s="1"/>
  <c r="AK65" i="2" s="1"/>
  <c r="AJ44" i="2"/>
  <c r="AJ62" i="2" s="1"/>
  <c r="AI44" i="2"/>
  <c r="AI62" i="2" s="1"/>
  <c r="AH44" i="2"/>
  <c r="AH62" i="2" s="1"/>
  <c r="AH65" i="2" s="1"/>
  <c r="AT40" i="2"/>
  <c r="BB38" i="2"/>
  <c r="BA38" i="2"/>
  <c r="AZ38" i="2"/>
  <c r="AY38" i="2"/>
  <c r="AX38" i="2"/>
  <c r="AW38" i="2"/>
  <c r="AT38" i="2"/>
  <c r="AS38" i="2"/>
  <c r="AR38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BB29" i="2"/>
  <c r="BA29" i="2"/>
  <c r="AZ29" i="2"/>
  <c r="AY29" i="2"/>
  <c r="AX29" i="2"/>
  <c r="AW29" i="2"/>
  <c r="AT29" i="2"/>
  <c r="AS29" i="2"/>
  <c r="AR29" i="2"/>
  <c r="AQ29" i="2"/>
  <c r="BB24" i="2"/>
  <c r="BA24" i="2"/>
  <c r="AZ24" i="2"/>
  <c r="AY24" i="2"/>
  <c r="AX24" i="2"/>
  <c r="AW24" i="2"/>
  <c r="AT24" i="2"/>
  <c r="AS24" i="2"/>
  <c r="AR24" i="2"/>
  <c r="AQ24" i="2"/>
  <c r="AL23" i="2"/>
  <c r="BB19" i="2"/>
  <c r="BA19" i="2"/>
  <c r="AZ19" i="2"/>
  <c r="AY19" i="2"/>
  <c r="AX19" i="2"/>
  <c r="AW19" i="2"/>
  <c r="AT19" i="2"/>
  <c r="AS19" i="2"/>
  <c r="AR19" i="2"/>
  <c r="AQ19" i="2"/>
  <c r="AP19" i="2"/>
  <c r="AO19" i="2"/>
  <c r="AN19" i="2"/>
  <c r="AM19" i="2"/>
  <c r="AL19" i="2"/>
  <c r="AK19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AQ16" i="2"/>
  <c r="Z14" i="2"/>
  <c r="Y14" i="2"/>
  <c r="X14" i="2"/>
  <c r="BB4" i="2"/>
  <c r="BA4" i="2"/>
  <c r="AZ4" i="2"/>
  <c r="AY4" i="2"/>
  <c r="AX4" i="2"/>
  <c r="AW4" i="2"/>
  <c r="AT4" i="2"/>
  <c r="AS4" i="2"/>
  <c r="AR4" i="2"/>
  <c r="AQ4" i="2"/>
  <c r="AP4" i="2"/>
  <c r="AO4" i="2"/>
  <c r="AN4" i="2"/>
  <c r="AM4" i="2"/>
  <c r="AL4" i="2"/>
  <c r="AK4" i="2"/>
  <c r="AJ4" i="2"/>
  <c r="AI4" i="2"/>
  <c r="AH4" i="2"/>
  <c r="AG4" i="2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BB91" i="1"/>
  <c r="AZ91" i="1"/>
  <c r="BA91" i="1" s="1"/>
  <c r="AY91" i="1"/>
  <c r="AX91" i="1"/>
  <c r="AW91" i="1"/>
  <c r="AT91" i="1"/>
  <c r="AS91" i="1"/>
  <c r="AR91" i="1"/>
  <c r="AQ91" i="1"/>
  <c r="AP91" i="1"/>
  <c r="AO91" i="1"/>
  <c r="AN91" i="1"/>
  <c r="AM91" i="1"/>
  <c r="AL91" i="1"/>
  <c r="AK91" i="1"/>
  <c r="AJ91" i="1"/>
  <c r="AI91" i="1"/>
  <c r="AH91" i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AZ89" i="1"/>
  <c r="AY89" i="1"/>
  <c r="AX89" i="1"/>
  <c r="AW89" i="1"/>
  <c r="AT89" i="1"/>
  <c r="AS89" i="1"/>
  <c r="AR89" i="1"/>
  <c r="AQ89" i="1"/>
  <c r="AP89" i="1"/>
  <c r="AO89" i="1"/>
  <c r="AN89" i="1"/>
  <c r="AM89" i="1"/>
  <c r="AL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L90" i="1" s="1"/>
  <c r="L92" i="1" s="1"/>
  <c r="BB88" i="1"/>
  <c r="BA88" i="1"/>
  <c r="AZ88" i="1"/>
  <c r="AY88" i="1"/>
  <c r="AX88" i="1"/>
  <c r="AW88" i="1"/>
  <c r="AT88" i="1"/>
  <c r="AS88" i="1"/>
  <c r="AR88" i="1"/>
  <c r="AQ88" i="1"/>
  <c r="AP88" i="1"/>
  <c r="AO88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BB87" i="1"/>
  <c r="BA87" i="1"/>
  <c r="AZ87" i="1"/>
  <c r="AY87" i="1"/>
  <c r="AX87" i="1"/>
  <c r="AW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B76" i="1"/>
  <c r="AZ76" i="1"/>
  <c r="AY76" i="1"/>
  <c r="AX76" i="1"/>
  <c r="AW76" i="1"/>
  <c r="AT76" i="1"/>
  <c r="AS76" i="1"/>
  <c r="AR76" i="1"/>
  <c r="AQ76" i="1"/>
  <c r="AP76" i="1"/>
  <c r="AO76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B74" i="1"/>
  <c r="BA74" i="1"/>
  <c r="AZ74" i="1"/>
  <c r="AY74" i="1"/>
  <c r="AX74" i="1"/>
  <c r="AW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E73" i="1" s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BB72" i="1"/>
  <c r="AY72" i="1"/>
  <c r="AX72" i="1"/>
  <c r="AW72" i="1"/>
  <c r="AT72" i="1"/>
  <c r="AS72" i="1"/>
  <c r="AR72" i="1"/>
  <c r="AQ72" i="1"/>
  <c r="AP72" i="1"/>
  <c r="AO72" i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BB71" i="1"/>
  <c r="AY71" i="1"/>
  <c r="AX71" i="1"/>
  <c r="AW71" i="1"/>
  <c r="AT71" i="1"/>
  <c r="AS71" i="1"/>
  <c r="AR71" i="1"/>
  <c r="AQ71" i="1"/>
  <c r="AP71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X70" i="1"/>
  <c r="BB69" i="1"/>
  <c r="BA69" i="1"/>
  <c r="AZ69" i="1"/>
  <c r="AY69" i="1"/>
  <c r="AX69" i="1"/>
  <c r="AW69" i="1"/>
  <c r="AT69" i="1"/>
  <c r="AS69" i="1"/>
  <c r="AR69" i="1"/>
  <c r="AQ69" i="1"/>
  <c r="AP69" i="1"/>
  <c r="AO69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AY67" i="1"/>
  <c r="AY70" i="1" s="1"/>
  <c r="AT67" i="1"/>
  <c r="AT70" i="1" s="1"/>
  <c r="AT73" i="1" s="1"/>
  <c r="AS67" i="1"/>
  <c r="AS70" i="1" s="1"/>
  <c r="AR67" i="1"/>
  <c r="AR70" i="1" s="1"/>
  <c r="AR73" i="1" s="1"/>
  <c r="AQ67" i="1"/>
  <c r="AQ70" i="1" s="1"/>
  <c r="AP67" i="1"/>
  <c r="AP70" i="1" s="1"/>
  <c r="AO67" i="1"/>
  <c r="AO70" i="1" s="1"/>
  <c r="AN67" i="1"/>
  <c r="AN70" i="1" s="1"/>
  <c r="AM67" i="1"/>
  <c r="AM70" i="1" s="1"/>
  <c r="AJ67" i="1"/>
  <c r="AJ70" i="1" s="1"/>
  <c r="AI67" i="1"/>
  <c r="AI70" i="1" s="1"/>
  <c r="AH67" i="1"/>
  <c r="AH70" i="1" s="1"/>
  <c r="AE67" i="1"/>
  <c r="AE70" i="1" s="1"/>
  <c r="AD67" i="1"/>
  <c r="AC67" i="1"/>
  <c r="AC70" i="1" s="1"/>
  <c r="Z67" i="1"/>
  <c r="Z70" i="1" s="1"/>
  <c r="Y67" i="1"/>
  <c r="Y70" i="1" s="1"/>
  <c r="Y73" i="1" s="1"/>
  <c r="X67" i="1"/>
  <c r="U67" i="1"/>
  <c r="U70" i="1" s="1"/>
  <c r="T67" i="1"/>
  <c r="T70" i="1" s="1"/>
  <c r="S67" i="1"/>
  <c r="S70" i="1" s="1"/>
  <c r="R67" i="1"/>
  <c r="R70" i="1" s="1"/>
  <c r="Q67" i="1"/>
  <c r="Q70" i="1" s="1"/>
  <c r="P67" i="1"/>
  <c r="P70" i="1" s="1"/>
  <c r="O67" i="1"/>
  <c r="O70" i="1" s="1"/>
  <c r="N67" i="1"/>
  <c r="N70" i="1" s="1"/>
  <c r="N73" i="1" s="1"/>
  <c r="M67" i="1"/>
  <c r="M70" i="1" s="1"/>
  <c r="M73" i="1" s="1"/>
  <c r="L67" i="1"/>
  <c r="L70" i="1" s="1"/>
  <c r="K67" i="1"/>
  <c r="K70" i="1" s="1"/>
  <c r="K73" i="1" s="1"/>
  <c r="J67" i="1"/>
  <c r="J70" i="1" s="1"/>
  <c r="I67" i="1"/>
  <c r="I70" i="1" s="1"/>
  <c r="H67" i="1"/>
  <c r="H70" i="1" s="1"/>
  <c r="G67" i="1"/>
  <c r="F67" i="1"/>
  <c r="E67" i="1"/>
  <c r="D67" i="1"/>
  <c r="AY65" i="1"/>
  <c r="AK64" i="1"/>
  <c r="AL64" i="1" s="1"/>
  <c r="AF64" i="1"/>
  <c r="AG64" i="1" s="1"/>
  <c r="BA63" i="1"/>
  <c r="BA65" i="1" s="1"/>
  <c r="BA67" i="1" s="1"/>
  <c r="BA70" i="1" s="1"/>
  <c r="BA73" i="1" s="1"/>
  <c r="AZ63" i="1"/>
  <c r="AZ65" i="1" s="1"/>
  <c r="AZ67" i="1" s="1"/>
  <c r="AZ70" i="1" s="1"/>
  <c r="AY63" i="1"/>
  <c r="AW63" i="1"/>
  <c r="AW65" i="1" s="1"/>
  <c r="AW67" i="1" s="1"/>
  <c r="AW70" i="1" s="1"/>
  <c r="BA62" i="1"/>
  <c r="AZ62" i="1"/>
  <c r="AX62" i="1"/>
  <c r="AX63" i="1" s="1"/>
  <c r="AX65" i="1" s="1"/>
  <c r="AX67" i="1" s="1"/>
  <c r="AX70" i="1" s="1"/>
  <c r="AX73" i="1" s="1"/>
  <c r="AA62" i="1"/>
  <c r="AA63" i="1" s="1"/>
  <c r="AA65" i="1" s="1"/>
  <c r="AA67" i="1" s="1"/>
  <c r="AA70" i="1" s="1"/>
  <c r="W62" i="1"/>
  <c r="V62" i="1"/>
  <c r="V63" i="1" s="1"/>
  <c r="BB58" i="1"/>
  <c r="BA58" i="1"/>
  <c r="AZ58" i="1"/>
  <c r="AY58" i="1"/>
  <c r="AX58" i="1"/>
  <c r="AW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AL56" i="1"/>
  <c r="AK56" i="1"/>
  <c r="AJ56" i="1"/>
  <c r="AI56" i="1"/>
  <c r="AH56" i="1"/>
  <c r="BB51" i="1"/>
  <c r="BA51" i="1"/>
  <c r="AZ51" i="1"/>
  <c r="AY51" i="1"/>
  <c r="AX51" i="1"/>
  <c r="AW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B43" i="1"/>
  <c r="BA43" i="1"/>
  <c r="AZ43" i="1"/>
  <c r="AY43" i="1"/>
  <c r="AX43" i="1"/>
  <c r="AW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A36" i="1"/>
  <c r="AZ36" i="1"/>
  <c r="AY36" i="1"/>
  <c r="AX36" i="1"/>
  <c r="AW36" i="1"/>
  <c r="AT36" i="1"/>
  <c r="AS36" i="1"/>
  <c r="AR36" i="1"/>
  <c r="AQ36" i="1"/>
  <c r="AZ30" i="1"/>
  <c r="AY30" i="1"/>
  <c r="AX30" i="1"/>
  <c r="AW30" i="1"/>
  <c r="AT30" i="1"/>
  <c r="AS30" i="1"/>
  <c r="AR30" i="1"/>
  <c r="AQ30" i="1"/>
  <c r="AB25" i="1"/>
  <c r="AA25" i="1"/>
  <c r="X25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BB20" i="1"/>
  <c r="BB25" i="1" s="1"/>
  <c r="BA20" i="1"/>
  <c r="BA25" i="1" s="1"/>
  <c r="AZ20" i="1"/>
  <c r="AZ25" i="1" s="1"/>
  <c r="AY20" i="1"/>
  <c r="AY25" i="1" s="1"/>
  <c r="AX20" i="1"/>
  <c r="AX25" i="1" s="1"/>
  <c r="AW20" i="1"/>
  <c r="AW25" i="1" s="1"/>
  <c r="AT20" i="1"/>
  <c r="AT25" i="1" s="1"/>
  <c r="AS20" i="1"/>
  <c r="AS25" i="1" s="1"/>
  <c r="AR20" i="1"/>
  <c r="AR25" i="1" s="1"/>
  <c r="AQ20" i="1"/>
  <c r="AQ25" i="1" s="1"/>
  <c r="AP20" i="1"/>
  <c r="AP25" i="1" s="1"/>
  <c r="AO20" i="1"/>
  <c r="AO25" i="1" s="1"/>
  <c r="AN20" i="1"/>
  <c r="AN25" i="1" s="1"/>
  <c r="AM20" i="1"/>
  <c r="AM25" i="1" s="1"/>
  <c r="AL20" i="1"/>
  <c r="AL25" i="1" s="1"/>
  <c r="AK20" i="1"/>
  <c r="AK25" i="1" s="1"/>
  <c r="AJ20" i="1"/>
  <c r="AJ25" i="1" s="1"/>
  <c r="AI20" i="1"/>
  <c r="AI25" i="1" s="1"/>
  <c r="AH20" i="1"/>
  <c r="AH25" i="1" s="1"/>
  <c r="AG20" i="1"/>
  <c r="AG25" i="1" s="1"/>
  <c r="AF20" i="1"/>
  <c r="AF25" i="1" s="1"/>
  <c r="AE20" i="1"/>
  <c r="AE25" i="1" s="1"/>
  <c r="AD20" i="1"/>
  <c r="AD25" i="1" s="1"/>
  <c r="AC20" i="1"/>
  <c r="AC25" i="1" s="1"/>
  <c r="AB20" i="1"/>
  <c r="AA20" i="1"/>
  <c r="Z20" i="1"/>
  <c r="Z25" i="1" s="1"/>
  <c r="Y20" i="1"/>
  <c r="Y25" i="1" s="1"/>
  <c r="X20" i="1"/>
  <c r="W20" i="1"/>
  <c r="W25" i="1" s="1"/>
  <c r="V20" i="1"/>
  <c r="V25" i="1" s="1"/>
  <c r="U20" i="1"/>
  <c r="U25" i="1" s="1"/>
  <c r="T20" i="1"/>
  <c r="T25" i="1" s="1"/>
  <c r="S20" i="1"/>
  <c r="S25" i="1" s="1"/>
  <c r="R20" i="1"/>
  <c r="R25" i="1" s="1"/>
  <c r="Q20" i="1"/>
  <c r="Q25" i="1" s="1"/>
  <c r="P20" i="1"/>
  <c r="P25" i="1" s="1"/>
  <c r="O20" i="1"/>
  <c r="O25" i="1" s="1"/>
  <c r="N20" i="1"/>
  <c r="N25" i="1" s="1"/>
  <c r="M20" i="1"/>
  <c r="M25" i="1" s="1"/>
  <c r="L20" i="1"/>
  <c r="L25" i="1" s="1"/>
  <c r="K20" i="1"/>
  <c r="K25" i="1" s="1"/>
  <c r="J20" i="1"/>
  <c r="J25" i="1" s="1"/>
  <c r="I20" i="1"/>
  <c r="I25" i="1" s="1"/>
  <c r="H20" i="1"/>
  <c r="H25" i="1" s="1"/>
  <c r="G20" i="1"/>
  <c r="G25" i="1" s="1"/>
  <c r="F20" i="1"/>
  <c r="F25" i="1" s="1"/>
  <c r="E20" i="1"/>
  <c r="E25" i="1" s="1"/>
  <c r="D20" i="1"/>
  <c r="D25" i="1" s="1"/>
  <c r="AN18" i="1"/>
  <c r="AM18" i="1"/>
  <c r="AL18" i="1"/>
  <c r="AK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AE16" i="1"/>
  <c r="AD16" i="1"/>
  <c r="AG14" i="1"/>
  <c r="AS11" i="1"/>
  <c r="AS16" i="1" s="1"/>
  <c r="AR11" i="1"/>
  <c r="AR16" i="1" s="1"/>
  <c r="AP11" i="1"/>
  <c r="AP16" i="1" s="1"/>
  <c r="AE11" i="1"/>
  <c r="AD11" i="1"/>
  <c r="AB11" i="1"/>
  <c r="AB16" i="1" s="1"/>
  <c r="AA11" i="1"/>
  <c r="AA16" i="1" s="1"/>
  <c r="Z11" i="1"/>
  <c r="Z16" i="1" s="1"/>
  <c r="X11" i="1"/>
  <c r="X16" i="1" s="1"/>
  <c r="W11" i="1"/>
  <c r="W16" i="1" s="1"/>
  <c r="Q11" i="1"/>
  <c r="Q16" i="1" s="1"/>
  <c r="P11" i="1"/>
  <c r="P16" i="1" s="1"/>
  <c r="BB6" i="1"/>
  <c r="BB11" i="1" s="1"/>
  <c r="BB16" i="1" s="1"/>
  <c r="BA6" i="1"/>
  <c r="BA11" i="1" s="1"/>
  <c r="BA16" i="1" s="1"/>
  <c r="AZ6" i="1"/>
  <c r="AZ11" i="1" s="1"/>
  <c r="AZ16" i="1" s="1"/>
  <c r="AY6" i="1"/>
  <c r="AY11" i="1" s="1"/>
  <c r="AY16" i="1" s="1"/>
  <c r="AX6" i="1"/>
  <c r="AX11" i="1" s="1"/>
  <c r="AX16" i="1" s="1"/>
  <c r="AW6" i="1"/>
  <c r="AW11" i="1" s="1"/>
  <c r="AW16" i="1" s="1"/>
  <c r="AT6" i="1"/>
  <c r="AT11" i="1" s="1"/>
  <c r="AT16" i="1" s="1"/>
  <c r="AS6" i="1"/>
  <c r="AR6" i="1"/>
  <c r="AQ6" i="1"/>
  <c r="AQ11" i="1" s="1"/>
  <c r="AQ16" i="1" s="1"/>
  <c r="AP6" i="1"/>
  <c r="AO6" i="1"/>
  <c r="AO11" i="1" s="1"/>
  <c r="AO16" i="1" s="1"/>
  <c r="AN6" i="1"/>
  <c r="AN11" i="1" s="1"/>
  <c r="AN16" i="1" s="1"/>
  <c r="AM6" i="1"/>
  <c r="AM11" i="1" s="1"/>
  <c r="AM16" i="1" s="1"/>
  <c r="AL6" i="1"/>
  <c r="AL11" i="1" s="1"/>
  <c r="AL16" i="1" s="1"/>
  <c r="AK6" i="1"/>
  <c r="AK11" i="1" s="1"/>
  <c r="AK16" i="1" s="1"/>
  <c r="AJ6" i="1"/>
  <c r="AJ11" i="1" s="1"/>
  <c r="AJ16" i="1" s="1"/>
  <c r="AI6" i="1"/>
  <c r="AI11" i="1" s="1"/>
  <c r="AI16" i="1" s="1"/>
  <c r="AH6" i="1"/>
  <c r="AH11" i="1" s="1"/>
  <c r="AH16" i="1" s="1"/>
  <c r="AG6" i="1"/>
  <c r="AG11" i="1" s="1"/>
  <c r="AG16" i="1" s="1"/>
  <c r="AF6" i="1"/>
  <c r="AF11" i="1" s="1"/>
  <c r="AF16" i="1" s="1"/>
  <c r="AE6" i="1"/>
  <c r="AD6" i="1"/>
  <c r="AC6" i="1"/>
  <c r="AC11" i="1" s="1"/>
  <c r="AC16" i="1" s="1"/>
  <c r="AB6" i="1"/>
  <c r="AA6" i="1"/>
  <c r="Z6" i="1"/>
  <c r="Y6" i="1"/>
  <c r="Y11" i="1" s="1"/>
  <c r="Y16" i="1" s="1"/>
  <c r="X6" i="1"/>
  <c r="W6" i="1"/>
  <c r="V6" i="1"/>
  <c r="V11" i="1" s="1"/>
  <c r="V16" i="1" s="1"/>
  <c r="U6" i="1"/>
  <c r="U11" i="1" s="1"/>
  <c r="U16" i="1" s="1"/>
  <c r="T6" i="1"/>
  <c r="T11" i="1" s="1"/>
  <c r="T16" i="1" s="1"/>
  <c r="S6" i="1"/>
  <c r="S11" i="1" s="1"/>
  <c r="S16" i="1" s="1"/>
  <c r="R6" i="1"/>
  <c r="R11" i="1" s="1"/>
  <c r="R16" i="1" s="1"/>
  <c r="Q6" i="1"/>
  <c r="P6" i="1"/>
  <c r="O6" i="1"/>
  <c r="O11" i="1" s="1"/>
  <c r="O16" i="1" s="1"/>
  <c r="N6" i="1"/>
  <c r="N11" i="1" s="1"/>
  <c r="N16" i="1" s="1"/>
  <c r="M6" i="1"/>
  <c r="M11" i="1" s="1"/>
  <c r="M16" i="1" s="1"/>
  <c r="L6" i="1"/>
  <c r="L11" i="1" s="1"/>
  <c r="L16" i="1" s="1"/>
  <c r="K6" i="1"/>
  <c r="K11" i="1" s="1"/>
  <c r="K16" i="1" s="1"/>
  <c r="J6" i="1"/>
  <c r="J11" i="1" s="1"/>
  <c r="J16" i="1" s="1"/>
  <c r="I6" i="1"/>
  <c r="I11" i="1" s="1"/>
  <c r="I16" i="1" s="1"/>
  <c r="H6" i="1"/>
  <c r="H11" i="1" s="1"/>
  <c r="H16" i="1" s="1"/>
  <c r="G6" i="1"/>
  <c r="G11" i="1" s="1"/>
  <c r="G16" i="1" s="1"/>
  <c r="F6" i="1"/>
  <c r="F11" i="1" s="1"/>
  <c r="F16" i="1" s="1"/>
  <c r="E6" i="1"/>
  <c r="E11" i="1" s="1"/>
  <c r="E16" i="1" s="1"/>
  <c r="D6" i="1"/>
  <c r="D11" i="1" s="1"/>
  <c r="D16" i="1" s="1"/>
  <c r="BA68" i="3" l="1"/>
  <c r="AX116" i="3"/>
  <c r="BA116" i="3"/>
  <c r="BA117" i="3" s="1"/>
  <c r="BA67" i="3"/>
  <c r="BC68" i="3"/>
  <c r="BB68" i="3"/>
  <c r="BB116" i="3"/>
  <c r="W90" i="1"/>
  <c r="AM67" i="2"/>
  <c r="AZ67" i="2"/>
  <c r="W87" i="2"/>
  <c r="AI87" i="2"/>
  <c r="AL67" i="2"/>
  <c r="H89" i="1"/>
  <c r="H90" i="1" s="1"/>
  <c r="AZ87" i="2"/>
  <c r="AW67" i="2"/>
  <c r="T87" i="2"/>
  <c r="AF87" i="2"/>
  <c r="K67" i="2"/>
  <c r="W67" i="2"/>
  <c r="U87" i="2"/>
  <c r="AG87" i="2"/>
  <c r="AH87" i="2"/>
  <c r="V67" i="2"/>
  <c r="AB67" i="2"/>
  <c r="H85" i="2"/>
  <c r="H87" i="2" s="1"/>
  <c r="Y90" i="1"/>
  <c r="Y92" i="1" s="1"/>
  <c r="AK89" i="1"/>
  <c r="AK90" i="1" s="1"/>
  <c r="AK92" i="1" s="1"/>
  <c r="BA67" i="2"/>
  <c r="S90" i="1"/>
  <c r="S92" i="1" s="1"/>
  <c r="BD92" i="1"/>
  <c r="J67" i="2"/>
  <c r="AQ67" i="2"/>
  <c r="AX87" i="2"/>
  <c r="U90" i="1"/>
  <c r="AH90" i="1"/>
  <c r="AT90" i="1"/>
  <c r="AW90" i="1"/>
  <c r="AW92" i="1" s="1"/>
  <c r="X67" i="2"/>
  <c r="Q67" i="2"/>
  <c r="I85" i="2"/>
  <c r="I87" i="2" s="1"/>
  <c r="AI90" i="1"/>
  <c r="X90" i="1"/>
  <c r="X92" i="1" s="1"/>
  <c r="AJ90" i="1"/>
  <c r="AJ92" i="1" s="1"/>
  <c r="V90" i="1"/>
  <c r="L85" i="2"/>
  <c r="BA86" i="2"/>
  <c r="AK67" i="2"/>
  <c r="AE67" i="2"/>
  <c r="N87" i="2"/>
  <c r="M85" i="2"/>
  <c r="M87" i="2" s="1"/>
  <c r="AK85" i="2"/>
  <c r="AK87" i="2" s="1"/>
  <c r="AD53" i="3"/>
  <c r="AL90" i="1"/>
  <c r="AL92" i="1" s="1"/>
  <c r="AX90" i="1"/>
  <c r="AX92" i="1" s="1"/>
  <c r="AB56" i="2"/>
  <c r="AB58" i="2" s="1"/>
  <c r="AX67" i="2"/>
  <c r="T67" i="2"/>
  <c r="AA87" i="2"/>
  <c r="AY87" i="2"/>
  <c r="AN85" i="2"/>
  <c r="AN87" i="2" s="1"/>
  <c r="O53" i="3"/>
  <c r="AY90" i="1"/>
  <c r="AY92" i="1" s="1"/>
  <c r="AY67" i="2"/>
  <c r="AS67" i="2"/>
  <c r="AB87" i="2"/>
  <c r="AO85" i="2"/>
  <c r="AO87" i="2" s="1"/>
  <c r="P90" i="1"/>
  <c r="P92" i="1" s="1"/>
  <c r="P67" i="2"/>
  <c r="AH67" i="2"/>
  <c r="AT67" i="2"/>
  <c r="AP85" i="2"/>
  <c r="AP87" i="2" s="1"/>
  <c r="AT92" i="1"/>
  <c r="R87" i="2"/>
  <c r="BC90" i="1"/>
  <c r="BC92" i="1" s="1"/>
  <c r="AD67" i="2"/>
  <c r="N67" i="2"/>
  <c r="S87" i="2"/>
  <c r="T90" i="1"/>
  <c r="T92" i="1" s="1"/>
  <c r="AR67" i="2"/>
  <c r="O67" i="2"/>
  <c r="I67" i="2"/>
  <c r="V87" i="2"/>
  <c r="AA117" i="3"/>
  <c r="H117" i="3"/>
  <c r="AD67" i="3"/>
  <c r="J117" i="3"/>
  <c r="P67" i="3"/>
  <c r="I117" i="3"/>
  <c r="AK117" i="3"/>
  <c r="AI67" i="3"/>
  <c r="AE67" i="3"/>
  <c r="AM67" i="3"/>
  <c r="AP67" i="3"/>
  <c r="AR67" i="3"/>
  <c r="AQ67" i="3"/>
  <c r="U67" i="3"/>
  <c r="W67" i="3"/>
  <c r="BB67" i="3"/>
  <c r="AS73" i="1"/>
  <c r="X73" i="1"/>
  <c r="AK65" i="1"/>
  <c r="N90" i="1"/>
  <c r="N92" i="1" s="1"/>
  <c r="AQ90" i="1"/>
  <c r="AQ92" i="1" s="1"/>
  <c r="AF65" i="1"/>
  <c r="L73" i="1"/>
  <c r="Q73" i="1"/>
  <c r="R73" i="1"/>
  <c r="AM73" i="1"/>
  <c r="AP73" i="1"/>
  <c r="U73" i="1"/>
  <c r="O90" i="1"/>
  <c r="O92" i="1" s="1"/>
  <c r="AC90" i="1"/>
  <c r="AC92" i="1" s="1"/>
  <c r="BB90" i="1"/>
  <c r="BB92" i="1" s="1"/>
  <c r="AN53" i="3"/>
  <c r="AE53" i="3"/>
  <c r="AD90" i="1"/>
  <c r="AD92" i="1" s="1"/>
  <c r="AR90" i="1"/>
  <c r="AR92" i="1" s="1"/>
  <c r="K90" i="1"/>
  <c r="K92" i="1" s="1"/>
  <c r="T53" i="3"/>
  <c r="N53" i="3"/>
  <c r="N63" i="3"/>
  <c r="AI53" i="3"/>
  <c r="AI65" i="2"/>
  <c r="AF65" i="2"/>
  <c r="AJ65" i="2"/>
  <c r="AJ53" i="3"/>
  <c r="AA73" i="1"/>
  <c r="AJ73" i="1"/>
  <c r="Z53" i="3"/>
  <c r="Z63" i="3"/>
  <c r="Z67" i="3" s="1"/>
  <c r="AH67" i="3"/>
  <c r="V116" i="3"/>
  <c r="V117" i="3" s="1"/>
  <c r="I73" i="1"/>
  <c r="AY73" i="1"/>
  <c r="R90" i="1"/>
  <c r="R92" i="1" s="1"/>
  <c r="Q90" i="1"/>
  <c r="Q92" i="1" s="1"/>
  <c r="AE90" i="1"/>
  <c r="AE92" i="1" s="1"/>
  <c r="AS90" i="1"/>
  <c r="AS92" i="1" s="1"/>
  <c r="R67" i="2"/>
  <c r="AF67" i="2"/>
  <c r="L53" i="3"/>
  <c r="L63" i="3"/>
  <c r="L67" i="3" s="1"/>
  <c r="AA53" i="3"/>
  <c r="AA63" i="3"/>
  <c r="U117" i="3"/>
  <c r="AH73" i="1"/>
  <c r="J73" i="1"/>
  <c r="AZ73" i="1"/>
  <c r="AJ116" i="3"/>
  <c r="AJ117" i="3" s="1"/>
  <c r="AM87" i="2"/>
  <c r="Z73" i="1"/>
  <c r="AN73" i="1"/>
  <c r="BB73" i="1"/>
  <c r="AH92" i="1"/>
  <c r="AJ67" i="2"/>
  <c r="U67" i="2"/>
  <c r="AI67" i="2"/>
  <c r="L87" i="2"/>
  <c r="Z87" i="2"/>
  <c r="X53" i="3"/>
  <c r="J53" i="3"/>
  <c r="AK67" i="3"/>
  <c r="X117" i="3"/>
  <c r="AF117" i="3"/>
  <c r="U92" i="1"/>
  <c r="AI92" i="1"/>
  <c r="K53" i="3"/>
  <c r="K63" i="3"/>
  <c r="K67" i="3" s="1"/>
  <c r="AC116" i="3"/>
  <c r="AC117" i="3" s="1"/>
  <c r="AP116" i="3"/>
  <c r="AP117" i="3" s="1"/>
  <c r="AZ67" i="3"/>
  <c r="Y117" i="3"/>
  <c r="AT117" i="3"/>
  <c r="V92" i="1"/>
  <c r="Z90" i="1"/>
  <c r="Z92" i="1" s="1"/>
  <c r="Q63" i="3"/>
  <c r="Q53" i="3"/>
  <c r="X67" i="3"/>
  <c r="AY67" i="3"/>
  <c r="Z117" i="3"/>
  <c r="AN117" i="3"/>
  <c r="BB117" i="3"/>
  <c r="T73" i="1"/>
  <c r="W116" i="3"/>
  <c r="Q68" i="3"/>
  <c r="AS68" i="3"/>
  <c r="AS67" i="3" s="1"/>
  <c r="AW116" i="3"/>
  <c r="AW117" i="3" s="1"/>
  <c r="AW73" i="1"/>
  <c r="R67" i="3"/>
  <c r="AT68" i="3"/>
  <c r="AT67" i="3" s="1"/>
  <c r="N67" i="3"/>
  <c r="Y87" i="2"/>
  <c r="I53" i="3"/>
  <c r="I63" i="3"/>
  <c r="I67" i="3" s="1"/>
  <c r="H92" i="1"/>
  <c r="W63" i="1"/>
  <c r="W65" i="1" s="1"/>
  <c r="W67" i="1" s="1"/>
  <c r="W70" i="1" s="1"/>
  <c r="W73" i="1" s="1"/>
  <c r="V65" i="1"/>
  <c r="V67" i="1" s="1"/>
  <c r="V70" i="1" s="1"/>
  <c r="V73" i="1" s="1"/>
  <c r="O73" i="1"/>
  <c r="AC73" i="1"/>
  <c r="AQ73" i="1"/>
  <c r="W92" i="1"/>
  <c r="AC58" i="2"/>
  <c r="O87" i="2"/>
  <c r="AC87" i="2"/>
  <c r="AQ87" i="2"/>
  <c r="BA85" i="2"/>
  <c r="AZ90" i="1"/>
  <c r="BA90" i="1" s="1"/>
  <c r="BA92" i="1" s="1"/>
  <c r="S63" i="3"/>
  <c r="S53" i="3"/>
  <c r="P53" i="3"/>
  <c r="Q116" i="3"/>
  <c r="Q117" i="3" s="1"/>
  <c r="AE116" i="3"/>
  <c r="AE117" i="3" s="1"/>
  <c r="AR116" i="3"/>
  <c r="AR117" i="3" s="1"/>
  <c r="AI73" i="1"/>
  <c r="AF68" i="3"/>
  <c r="AF67" i="3" s="1"/>
  <c r="K87" i="2"/>
  <c r="P87" i="2"/>
  <c r="AD87" i="2"/>
  <c r="AR87" i="2"/>
  <c r="U53" i="3"/>
  <c r="M67" i="3"/>
  <c r="AA68" i="3"/>
  <c r="AA67" i="3" s="1"/>
  <c r="AG116" i="3"/>
  <c r="AG117" i="3" s="1"/>
  <c r="AS116" i="3"/>
  <c r="AS117" i="3" s="1"/>
  <c r="AO68" i="3"/>
  <c r="AO67" i="3" s="1"/>
  <c r="W117" i="3"/>
  <c r="AG90" i="1"/>
  <c r="AG92" i="1" s="1"/>
  <c r="AF90" i="1"/>
  <c r="AF92" i="1" s="1"/>
  <c r="AX117" i="3"/>
  <c r="L67" i="2"/>
  <c r="Z67" i="2"/>
  <c r="AN67" i="2"/>
  <c r="Q87" i="2"/>
  <c r="AE87" i="2"/>
  <c r="AS87" i="2"/>
  <c r="AH53" i="3"/>
  <c r="AB67" i="3"/>
  <c r="O117" i="3"/>
  <c r="AN90" i="1"/>
  <c r="AN92" i="1" s="1"/>
  <c r="M67" i="2"/>
  <c r="AA67" i="2"/>
  <c r="AO67" i="2"/>
  <c r="AM53" i="3"/>
  <c r="J63" i="3"/>
  <c r="J67" i="3" s="1"/>
  <c r="T116" i="3"/>
  <c r="T117" i="3" s="1"/>
  <c r="AH116" i="3"/>
  <c r="AH117" i="3" s="1"/>
  <c r="P117" i="3"/>
  <c r="AD117" i="3"/>
  <c r="R117" i="3"/>
  <c r="P73" i="1"/>
  <c r="S73" i="1"/>
  <c r="M90" i="1"/>
  <c r="M92" i="1" s="1"/>
  <c r="AB90" i="1"/>
  <c r="AB92" i="1" s="1"/>
  <c r="AO90" i="1"/>
  <c r="AO92" i="1" s="1"/>
  <c r="V63" i="3"/>
  <c r="V67" i="3" s="1"/>
  <c r="Y63" i="3"/>
  <c r="Y67" i="3" s="1"/>
  <c r="T63" i="3"/>
  <c r="T67" i="3" s="1"/>
  <c r="U116" i="3"/>
  <c r="AI116" i="3"/>
  <c r="AI117" i="3" s="1"/>
  <c r="S116" i="3"/>
  <c r="S117" i="3" s="1"/>
  <c r="I90" i="1"/>
  <c r="I92" i="1" s="1"/>
  <c r="AT65" i="3"/>
  <c r="AM115" i="3"/>
  <c r="AM117" i="3" s="1"/>
  <c r="J90" i="1"/>
  <c r="J92" i="1" s="1"/>
  <c r="AY116" i="3"/>
  <c r="AY117" i="3" s="1"/>
  <c r="AA90" i="1"/>
  <c r="AA92" i="1" s="1"/>
  <c r="AO53" i="3"/>
  <c r="X116" i="3"/>
  <c r="AL116" i="3"/>
  <c r="AL117" i="3" s="1"/>
  <c r="AZ116" i="3"/>
  <c r="AZ117" i="3" s="1"/>
  <c r="AB62" i="1"/>
  <c r="AB63" i="1" s="1"/>
  <c r="AB65" i="1" s="1"/>
  <c r="AB67" i="1" s="1"/>
  <c r="AB70" i="1" s="1"/>
  <c r="AB73" i="1" s="1"/>
  <c r="AD70" i="1"/>
  <c r="AD73" i="1" s="1"/>
  <c r="AP53" i="3"/>
  <c r="K116" i="3"/>
  <c r="K117" i="3" s="1"/>
  <c r="Y62" i="2"/>
  <c r="Y53" i="3" s="1"/>
  <c r="J85" i="2"/>
  <c r="J87" i="2" s="1"/>
  <c r="AL85" i="2"/>
  <c r="AL87" i="2" s="1"/>
  <c r="L116" i="3"/>
  <c r="L117" i="3" s="1"/>
  <c r="AO71" i="1"/>
  <c r="AO73" i="1" s="1"/>
  <c r="AG59" i="2"/>
  <c r="AO58" i="3"/>
  <c r="O63" i="3"/>
  <c r="O67" i="3" s="1"/>
  <c r="S68" i="3"/>
  <c r="S67" i="3" s="1"/>
  <c r="AG68" i="3"/>
  <c r="AG67" i="3" s="1"/>
  <c r="M116" i="3"/>
  <c r="M117" i="3" s="1"/>
  <c r="N116" i="3"/>
  <c r="N117" i="3" s="1"/>
  <c r="AB116" i="3"/>
  <c r="AB117" i="3" s="1"/>
  <c r="AQ58" i="3"/>
  <c r="AQ116" i="3"/>
  <c r="AQ117" i="3" s="1"/>
  <c r="BA87" i="2" l="1"/>
  <c r="AM90" i="1"/>
  <c r="AM92" i="1" s="1"/>
  <c r="AP90" i="1"/>
  <c r="AP92" i="1" s="1"/>
  <c r="AF67" i="1"/>
  <c r="AG65" i="1"/>
  <c r="AG67" i="1" s="1"/>
  <c r="AG70" i="1" s="1"/>
  <c r="AG73" i="1" s="1"/>
  <c r="AL65" i="1"/>
  <c r="AL67" i="1" s="1"/>
  <c r="AL70" i="1" s="1"/>
  <c r="AL73" i="1" s="1"/>
  <c r="AK67" i="1"/>
  <c r="AZ92" i="1"/>
  <c r="Q67" i="3"/>
  <c r="Y65" i="2"/>
  <c r="Y67" i="2"/>
  <c r="V53" i="3"/>
  <c r="AC60" i="2"/>
  <c r="AC62" i="2" s="1"/>
  <c r="AG58" i="2"/>
  <c r="AG60" i="2" s="1"/>
  <c r="AG62" i="2" s="1"/>
  <c r="AK70" i="1" l="1"/>
  <c r="AK73" i="1" s="1"/>
  <c r="AK53" i="3"/>
  <c r="AF70" i="1"/>
  <c r="AF73" i="1" s="1"/>
  <c r="AF53" i="3"/>
  <c r="AG65" i="2"/>
  <c r="AG67" i="2"/>
  <c r="AC65" i="2"/>
  <c r="AC53" i="3"/>
  <c r="AC67" i="2"/>
  <c r="AI18" i="1" l="1"/>
  <c r="AJ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Valdés Pombo, Alberto</author>
  </authors>
  <commentList>
    <comment ref="AF66" authorId="0" shapeId="0" xr:uid="{4FB1E248-E66F-46EF-AB54-351DFB253925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collection of €220 m (net of transaction costs) - on the sale of a 49% equity interest in the Renewable Energy business to the infrastructure fund, Ancala Partners, in December 2020
</t>
        </r>
      </text>
    </comment>
    <comment ref="AG66" authorId="0" shapeId="0" xr:uid="{1F779812-C572-4494-8602-FB0B28AAE890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collection of €220 m (net of transaction costs) - on the sale of a 49% equity interest in the Renewable Energy business to the infrastructure fund, Ancala Partners, in December 2020
</t>
        </r>
      </text>
    </comment>
    <comment ref="X67" authorId="0" shapeId="0" xr:uid="{EAFAA296-5E88-44C4-8D4B-15EC433826DB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adoption on IFRS-16 on lease contracts for 46,4 Mn€ and their inclussion as financial debt</t>
        </r>
      </text>
    </comment>
    <comment ref="AB67" authorId="0" shapeId="0" xr:uid="{8B6E5D94-CD58-47FD-BEE1-721B17FA1820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adoption on IFRS-16 on lease contracts for 46,4 Mn€ and their inclussion as financial debt</t>
        </r>
      </text>
    </comment>
    <comment ref="AF67" authorId="0" shapeId="0" xr:uid="{2BA132B2-C5CD-4296-971E-B68EBAACCA92}">
      <text>
        <r>
          <rPr>
            <b/>
            <sz val="9"/>
            <color indexed="81"/>
            <rFont val="Tahoma"/>
            <family val="2"/>
          </rPr>
          <t xml:space="preserve">Includes </t>
        </r>
        <r>
          <rPr>
            <sz val="9"/>
            <color indexed="81"/>
            <rFont val="Tahoma"/>
            <family val="2"/>
          </rPr>
          <t>€82.5m proceeds collected from the sale of the solar thermal plant in Puertollano in 4Q20, including €24.2m of cash at the plant at the transaction close, which are adjusted at the consolidated level.</t>
        </r>
      </text>
    </comment>
    <comment ref="AG67" authorId="0" shapeId="0" xr:uid="{0845BAF4-DC66-43A3-925F-7E7FBD278B3F}">
      <text>
        <r>
          <rPr>
            <b/>
            <sz val="9"/>
            <color indexed="81"/>
            <rFont val="Tahoma"/>
            <family val="2"/>
          </rPr>
          <t xml:space="preserve">Includes </t>
        </r>
        <r>
          <rPr>
            <sz val="9"/>
            <color indexed="81"/>
            <rFont val="Tahoma"/>
            <family val="2"/>
          </rPr>
          <t>€82.5m proceeds collected from the sale of the solar thermal plant in Puertollano in 4Q20, including €24.2m of cash at the plant at the transaction close, which are adjusted at the consolidated level.</t>
        </r>
      </text>
    </comment>
    <comment ref="AI67" authorId="0" shapeId="0" xr:uid="{39879207-19CD-4886-8A45-1B6A83E43A5C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a 28.8 Mn€ net debt reduction related to Pontevedra lease contracts post the National Court ruling on its continuity
</t>
        </r>
      </text>
    </comment>
    <comment ref="AO67" authorId="0" shapeId="0" xr:uid="{B5D76614-3384-4259-B268-433A267A809E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repayment of loans from associates by €19m in 3Q22
</t>
        </r>
      </text>
    </comment>
    <comment ref="AP67" authorId="0" shapeId="0" xr:uid="{36B74C93-AC67-4C57-9F5B-60B0789F8CF3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a 16.9 Mn€ net debt increase in 4Q22 related to Pontevedra lease contracts post the Supreme Court ruling on its continuity
</t>
        </r>
      </text>
    </comment>
    <comment ref="AQ67" authorId="0" shapeId="0" xr:uid="{67ECDE7B-8499-4414-BD60-DC8B46C1DDF2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repayment of loans from associates by €19m in 3Q22
Also </t>
        </r>
        <r>
          <rPr>
            <b/>
            <sz val="9"/>
            <color indexed="81"/>
            <rFont val="Tahoma"/>
            <family val="2"/>
          </rPr>
          <t xml:space="preserve">includes </t>
        </r>
        <r>
          <rPr>
            <sz val="9"/>
            <color indexed="81"/>
            <rFont val="Tahoma"/>
            <family val="2"/>
          </rPr>
          <t>a 16.9 Mn€ net debt increase in 4Q22 related to Pontevedra lease contracts post the Supreme Court ruling on its continuity</t>
        </r>
      </text>
    </comment>
    <comment ref="AT67" authorId="0" shapeId="0" xr:uid="{408E9DE7-123F-4E1B-ADD5-35F5B46034A1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repayment of loans from associates by €14.7m in 3Q23 
</t>
        </r>
      </text>
    </comment>
    <comment ref="AV67" authorId="0" shapeId="0" xr:uid="{54D11C35-AAD3-4DF4-A31B-5E374BFCACBB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repayment of loans from associates by €14.7m in 3Q23 
</t>
        </r>
      </text>
    </comment>
    <comment ref="AI114" authorId="0" shapeId="0" xr:uid="{E3C9AB29-C449-4C71-8C07-A4F2F19EDF03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J114" authorId="0" shapeId="0" xr:uid="{7C2989DB-A165-4B7D-BD5D-DABD7D8BF1A1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K114" authorId="0" shapeId="0" xr:uid="{2ED915F2-6777-456C-8DC7-5E24F350E3B0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L114" authorId="0" shapeId="0" xr:uid="{1C66492C-B344-453A-9929-68063A358DAA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M114" authorId="0" shapeId="0" xr:uid="{F75FD4C1-AB18-4023-A0B4-8771B28F40B4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P114" authorId="0" shapeId="0" xr:uid="{528E6D92-8FC4-4A2C-B576-F237EFF5A902}">
      <text>
        <r>
          <rPr>
            <sz val="9"/>
            <color indexed="81"/>
            <rFont val="Tahoma"/>
            <family val="2"/>
          </rPr>
          <t>Adjusted for the reversal in 4Q22 of Pontevedra impairments and provissions registered in 2021 post Supreme Court ruling on its continuity</t>
        </r>
      </text>
    </comment>
    <comment ref="AQ114" authorId="0" shapeId="0" xr:uid="{E570521A-13E4-4BFC-890B-A873961ACA4A}">
      <text>
        <r>
          <rPr>
            <sz val="9"/>
            <color indexed="81"/>
            <rFont val="Tahoma"/>
            <family val="2"/>
          </rPr>
          <t>Adjusted for the reversal in 4Q22 of Pontevedra impairments and provissions registered in 2021 post Supreme Court ruling on its continuity</t>
        </r>
      </text>
    </comment>
    <comment ref="AR114" authorId="0" shapeId="0" xr:uid="{322553B5-9EC4-4129-B9BB-98F5AFFE86C2}">
      <text>
        <r>
          <rPr>
            <sz val="9"/>
            <color indexed="81"/>
            <rFont val="Tahoma"/>
            <family val="2"/>
          </rPr>
          <t>Adjusted for the reversal in 4Q22 of Pontevedra impairments and provissions registered in 2021 post Supreme Court ruling on its continuity</t>
        </r>
      </text>
    </comment>
    <comment ref="AS114" authorId="0" shapeId="0" xr:uid="{9BCBA1A0-857B-4C6E-B510-746ABBBC579A}">
      <text>
        <r>
          <rPr>
            <sz val="9"/>
            <color indexed="81"/>
            <rFont val="Tahoma"/>
            <family val="2"/>
          </rPr>
          <t>Adjusted for the reversal in 4Q22 of Pontevedra impairments and provissions registered in 2021 post Supreme Court ruling on its continuity</t>
        </r>
      </text>
    </comment>
    <comment ref="AT114" authorId="0" shapeId="0" xr:uid="{A1E20C38-C2F1-4FB7-9F8C-13FD3920E0BC}">
      <text>
        <r>
          <rPr>
            <sz val="9"/>
            <color indexed="81"/>
            <rFont val="Tahoma"/>
            <family val="2"/>
          </rPr>
          <t>Adjusted for the reversal in 4Q22 of Pontevedra impairments and provissions registered in 2021 post Supreme Court ruling on its continuity</t>
        </r>
      </text>
    </comment>
    <comment ref="AI115" authorId="0" shapeId="0" xr:uid="{64E7F357-A34A-4B79-A537-98E5EE168B26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J115" authorId="0" shapeId="0" xr:uid="{03C7C94E-8F12-4D9F-95B4-59DEC77E2A11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K115" authorId="0" shapeId="0" xr:uid="{009ABA09-A836-4289-9D81-847FBC39E561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L115" authorId="0" shapeId="0" xr:uid="{7A84C076-BC4A-4E64-98FE-7C5681972C17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M115" authorId="0" shapeId="0" xr:uid="{7B806517-BE9C-46A5-9884-62F8437ABCBE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N115" authorId="0" shapeId="0" xr:uid="{D6B59D00-389C-4121-83FB-1184BBC364AB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O115" authorId="0" shapeId="0" xr:uid="{3C3BF6A8-661F-4B69-8D26-66E9EB2FDAC0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Valdés Pombo, Alberto</author>
  </authors>
  <commentList>
    <comment ref="V62" authorId="0" shapeId="0" xr:uid="{B192F303-E7C7-471F-AD5B-D972320299A0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a €78m intercompany equity contribution in 4Q18 from the Pulp business to the Renewable Energy business, which is adjusted at the consolidated level
</t>
        </r>
      </text>
    </comment>
    <comment ref="W62" authorId="0" shapeId="0" xr:uid="{57069909-FC94-40AD-9710-EC66394C7919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a €78m intercompany equity contribution in 4Q18 from the Pulp business to the Renewable Energy business, which is adjusted at the consolidated level
</t>
        </r>
      </text>
    </comment>
    <comment ref="AA62" authorId="0" shapeId="0" xr:uid="{2ED78C80-420C-4C52-8BD4-71AF273F763A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€35m intercompany equity contribution in 4Q18 from the Pulp business to the Renewable Energy business, which is adjusted at the consolidated level
</t>
        </r>
      </text>
    </comment>
    <comment ref="AB62" authorId="0" shapeId="0" xr:uid="{C0213E1A-EF64-455B-B81A-04FA6EFA6B7C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€35m intercompany equity contribution in 4Q18 from the Pulp business to the Renewable Energy business, which is adjusted at the consolidated level
</t>
        </r>
      </text>
    </comment>
    <comment ref="AX62" authorId="0" shapeId="0" xr:uid="{A626D9AF-9721-459E-AE3B-7994B59B50F3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€22,5m intercompany loan in 2Q24 from the Pulp business to the Renewable business, which is adjusted at the consolidated level
</t>
        </r>
      </text>
    </comment>
    <comment ref="AZ62" authorId="0" shapeId="0" xr:uid="{E8B39E7B-5061-4FDE-A73A-6072CDD3F43B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€21,5m intercompany loan in 4Q24 from the Pulp business to the Renewable business, which is adjusted at the consolidated level
</t>
        </r>
      </text>
    </comment>
    <comment ref="BA62" authorId="0" shapeId="0" xr:uid="{8CFFEDB0-7D6A-477E-A933-12A1DDE4FDF1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€44m intercompany loan in 2024 from the Pulp business to the Renewable business, which is adjusted at the consolidated level
</t>
        </r>
      </text>
    </comment>
    <comment ref="V63" authorId="0" shapeId="0" xr:uid="{9600E0E5-85AD-402D-833A-BEE0D34B25AC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a €78m intercompany equity contribution in 4Q18 from the Pulp business to the Renewable Energy business, which is adjusted at the consolidated level
</t>
        </r>
      </text>
    </comment>
    <comment ref="W63" authorId="0" shapeId="0" xr:uid="{99772954-8491-404D-86F1-0F8324919EA6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a €78m intercompany equity contribution in 4Q18 from the Pulp business to the Renewable Energy business, which is adjusted at the consolidated level
</t>
        </r>
      </text>
    </comment>
    <comment ref="AA63" authorId="0" shapeId="0" xr:uid="{AA81F64A-3D10-4B4F-AE9F-6704FDBF0E63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€35m intercompany equity contribution in 4Q18 from the Pulp business to the Renewable Energy business, which is adjusted at the consolidated level
</t>
        </r>
      </text>
    </comment>
    <comment ref="AB63" authorId="0" shapeId="0" xr:uid="{82D92DE9-04F1-4E42-9777-F20ABF89743F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€35m intercompany equity contribution in 4Q18 from the Pulp business to the Renewable Energy business, which is adjusted at the consolidated level
</t>
        </r>
      </text>
    </comment>
    <comment ref="AF64" authorId="0" shapeId="0" xr:uid="{D35621C5-CBCE-43D3-BA24-A43E36D2EA83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€82.5m proceeds collected from the sale of the solar thermal plant in Puertollano in 4Q20, including €24.2m of cash at the plant at the transaction close, which are adjusted at the consolidated level.</t>
        </r>
      </text>
    </comment>
    <comment ref="AG64" authorId="0" shapeId="0" xr:uid="{85A97FFC-0EAA-497F-8D1A-DCABB6BF308D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€82.5m proceeds collected from the sale of the solar thermal plant in Puertollano in 4Q20, including €24.2m of cash at the plant at the transaction close, which are adjusted at the consolidated level.</t>
        </r>
      </text>
    </comment>
    <comment ref="AK64" authorId="0" shapeId="0" xr:uid="{1A1A4069-B5B7-4994-8CA8-1B181903E437}">
      <text>
        <r>
          <rPr>
            <sz val="9"/>
            <color indexed="81"/>
            <rFont val="Tahoma"/>
            <family val="2"/>
          </rPr>
          <t>Excludes a dividend of €13.3m from the Renewable business in 4Q21, which is adjusted at the consolidated level</t>
        </r>
      </text>
    </comment>
    <comment ref="AL64" authorId="0" shapeId="0" xr:uid="{E824BD4A-EAF8-40D9-8F93-52C20BB4FFD8}">
      <text>
        <r>
          <rPr>
            <sz val="9"/>
            <color indexed="81"/>
            <rFont val="Tahoma"/>
            <family val="2"/>
          </rPr>
          <t>Excludes a dividend of €13.3m from the Renewable business in 4Q21, which is adjusted at the consolidated level</t>
        </r>
      </text>
    </comment>
    <comment ref="V65" authorId="0" shapeId="0" xr:uid="{68DA45EB-867E-4717-9B88-3758078962F1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a €78m intercompany equity contribution in 4Q18 from the Pulp business to the Renewable Energy business, which is adjusted at the consolidated level
</t>
        </r>
      </text>
    </comment>
    <comment ref="W65" authorId="0" shapeId="0" xr:uid="{F3A5C490-D4B6-449A-8D3A-9FABC52EC421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a €78m intercompany equity contribution in 4Q18 from the Pulp business to the Renewable Energy business, which is adjusted at the consolidated level
</t>
        </r>
      </text>
    </comment>
    <comment ref="AA65" authorId="0" shapeId="0" xr:uid="{9D39062A-049D-4534-ABCD-FD42D0B4DFAE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€35m intercompany equity contribution in 4Q18 from the Pulp business to the Renewable Energy business, which is adjusted at the consolidated level
</t>
        </r>
      </text>
    </comment>
    <comment ref="AB65" authorId="0" shapeId="0" xr:uid="{7456535E-7B8B-4933-8675-37F481A723B0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€35m intercompany equity contribution in 4Q18 from the Pulp business to the Renewable Energy business, which is adjusted at the consolidated level
</t>
        </r>
      </text>
    </comment>
    <comment ref="AF65" authorId="0" shapeId="0" xr:uid="{148AA414-EFFE-4605-A419-D82DADE77EE4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€82.5m proceeds collected from the sale of the solar thermal plant in Puertollano in 4Q20, including €24.2m of cash at the plant at the transaction close, which are adjusted at the consolidated level.</t>
        </r>
      </text>
    </comment>
    <comment ref="AG65" authorId="0" shapeId="0" xr:uid="{AC0FE70E-63F5-44D4-BF25-E5479F6AF989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€82.5m proceeds collected from the sale of the solar thermal plant in Puertollano in 4Q20, including €24.2m of cash at the plant at the transaction close, which are adjusted at the consolidated level.</t>
        </r>
      </text>
    </comment>
    <comment ref="AK65" authorId="0" shapeId="0" xr:uid="{DCC18B70-8A16-4C7B-B16E-4AD966F34D7B}">
      <text>
        <r>
          <rPr>
            <sz val="9"/>
            <color indexed="81"/>
            <rFont val="Tahoma"/>
            <family val="2"/>
          </rPr>
          <t>Excludes a dividend of €13.3m from the Renewable business in 4Q21, which is adjusted at the consolidated level</t>
        </r>
      </text>
    </comment>
    <comment ref="AL65" authorId="0" shapeId="0" xr:uid="{56417A89-FDB5-4D05-8C33-6F56C204EEB6}">
      <text>
        <r>
          <rPr>
            <sz val="9"/>
            <color indexed="81"/>
            <rFont val="Tahoma"/>
            <family val="2"/>
          </rPr>
          <t>Excludes a dividend of €13.3m from the Renewable business in 4Q21, which is adjusted at the consolidated level</t>
        </r>
      </text>
    </comment>
    <comment ref="V67" authorId="0" shapeId="0" xr:uid="{6E0E2DB1-800C-4AA7-B0F3-4320E17EE84D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a €78m intercompany equity contribution in 4Q18 from the Pulp business to the Renewable Energy business, which is adjusted at the consolidated level
</t>
        </r>
      </text>
    </comment>
    <comment ref="W67" authorId="0" shapeId="0" xr:uid="{F20519EA-C714-4805-A316-B70DBB511FFE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a €78m intercompany equity contribution in 4Q18 from the Pulp business to the Renewable Energy business, which is adjusted at the consolidated level
</t>
        </r>
      </text>
    </comment>
    <comment ref="AA67" authorId="0" shapeId="0" xr:uid="{AF30E3F5-E6D8-41E4-8618-06382C47670C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€35m intercompany equity contribution in 4Q18 from the Pulp business to the Renewable Energy business, which is adjusted at the consolidated level
</t>
        </r>
      </text>
    </comment>
    <comment ref="AB67" authorId="0" shapeId="0" xr:uid="{96297A26-6411-481F-ABE0-DA0B893C64BE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€35m intercompany equity contribution in 4Q18 from the Pulp business to the Renewable Energy business, which is adjusted at the consolidated level
</t>
        </r>
      </text>
    </comment>
    <comment ref="AF67" authorId="0" shapeId="0" xr:uid="{4305904F-2057-474B-8078-AA0EE1BCDF59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€82.5m proceeds collected from the sale of the solar thermal plant in Puertollano in 4Q20, including €24.2m of cash at the plant at the transaction close, which are adjusted at the consolidated level.</t>
        </r>
      </text>
    </comment>
    <comment ref="AG67" authorId="0" shapeId="0" xr:uid="{30492CC5-694F-486E-BD93-4B66EA18A376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€82.5m proceeds collected from the sale of the solar thermal plant in Puertollano in 4Q20, including €24.2m of cash at the plant at the transaction close, which are adjusted at the consolidated level.</t>
        </r>
      </text>
    </comment>
    <comment ref="AK67" authorId="0" shapeId="0" xr:uid="{B72D7B4C-3F79-40F7-A97E-D33A01524E32}">
      <text>
        <r>
          <rPr>
            <sz val="9"/>
            <color indexed="81"/>
            <rFont val="Tahoma"/>
            <family val="2"/>
          </rPr>
          <t>Excludes a dividend of €13.3m from the Renewable business in 4Q21, which is adjusted at the consolidated level</t>
        </r>
      </text>
    </comment>
    <comment ref="AL67" authorId="0" shapeId="0" xr:uid="{CCEEAE96-7B60-44F4-B672-04F134187126}">
      <text>
        <r>
          <rPr>
            <sz val="9"/>
            <color indexed="81"/>
            <rFont val="Tahoma"/>
            <family val="2"/>
          </rPr>
          <t>Excludes a dividend of €13.3m from the Renewable business in 4Q21, which is adjusted at the consolidated level</t>
        </r>
      </text>
    </comment>
    <comment ref="AX67" authorId="0" shapeId="0" xr:uid="{E58DDA4E-AA11-45C0-BBB7-3D8DAECE2094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€22,5m intercompany loan in 2Q24 from the Pulp business to the Renewable business, which is adjusted at the consolidated level
</t>
        </r>
      </text>
    </comment>
    <comment ref="AZ67" authorId="0" shapeId="0" xr:uid="{77A9498B-9002-4532-8E1F-58397E6C7A08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€21,5m intercompany loan in 4Q24 from the Pulp business to the Renewable business, which is adjusted at the consolidated level
</t>
        </r>
      </text>
    </comment>
    <comment ref="BA67" authorId="0" shapeId="0" xr:uid="{5BAF3151-E708-4329-AAFA-5421F7AD33F0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€44m intercompany loan in 2024 from the Pulp business to the Renewable business, which is adjusted at the consolidated level
</t>
        </r>
      </text>
    </comment>
    <comment ref="AF72" authorId="0" shapeId="0" xr:uid="{CBCCAD86-1802-4077-A07D-E3C80581EEA7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collection of €220 m (net of transaction costs) - on the sale of a 49% equity interest in the Renewable Energy business to the infrastructure fund, Ancala Partners, in December 2020
</t>
        </r>
      </text>
    </comment>
    <comment ref="AG72" authorId="0" shapeId="0" xr:uid="{A231FB33-2D30-429C-B15A-68DFC05A6214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collection of €220 m (net of transaction costs) - on the sale of a 49% equity interest in the Renewable Energy business to the infrastructure fund, Ancala Partners, in December 2020
</t>
        </r>
      </text>
    </comment>
    <comment ref="V73" authorId="0" shapeId="0" xr:uid="{2FDB8705-F46B-492E-A074-886C4382D6B5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a €78m intercompany equity contribution in 4Q18 from the Pulp business to the Renewable Energy business, which is adjusted at the consolidated level
</t>
        </r>
      </text>
    </comment>
    <comment ref="W73" authorId="0" shapeId="0" xr:uid="{4C1231D8-0E39-4BEB-85F7-308A51468878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a €78m intercompany equity contribution in 4Q18 from the Pulp business to the Renewable Energy business, which is adjusted at the consolidated level
</t>
        </r>
      </text>
    </comment>
    <comment ref="X73" authorId="0" shapeId="0" xr:uid="{1DE6D038-550F-4BE1-9BBB-33CCC69081EC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adoption on IFRS-16 on lease contracts for 46,4 Mn€ and their inclussion as financial debt</t>
        </r>
      </text>
    </comment>
    <comment ref="AA73" authorId="0" shapeId="0" xr:uid="{C4B30360-F42E-403C-A0C4-1B986744BEAE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€35m intercompany equity contribution in 4Q18 from the Pulp business to the Renewable Energy business, which is adjusted at the consolidated level
</t>
        </r>
      </text>
    </comment>
    <comment ref="AB73" authorId="0" shapeId="0" xr:uid="{9A7DA2F6-0B9B-4A13-89F3-EF0A515F2DBB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€35m intercompany equity contribution in 4Q18 from the Pulp business to the Renewable Energy business, which is adjusted at the consolidated level. 
</t>
        </r>
        <r>
          <rPr>
            <b/>
            <sz val="9"/>
            <color indexed="81"/>
            <rFont val="Tahoma"/>
            <family val="2"/>
          </rPr>
          <t>Also includes</t>
        </r>
        <r>
          <rPr>
            <sz val="9"/>
            <color indexed="81"/>
            <rFont val="Tahoma"/>
            <family val="2"/>
          </rPr>
          <t xml:space="preserve"> the adoption on IFRS-16 on lease contracts for 46,4 Mn€ and their inclussion as financial debt
</t>
        </r>
      </text>
    </comment>
    <comment ref="AF73" authorId="0" shapeId="0" xr:uid="{ADB32843-DECF-4EA3-AA3F-DDCC485A8018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€82.5m proceeds collected from the sale of the solar thermal plant in Puertollano in 4Q20, including €24.2m of cash at the plant at the transaction close, which are adjusted at the consolidated level.</t>
        </r>
      </text>
    </comment>
    <comment ref="AG73" authorId="0" shapeId="0" xr:uid="{7DD33246-E0F6-4221-A8FF-5419E3A65B01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€82.5m proceeds collected from the sale of the solar thermal plant in Puertollano in 4Q20, including €24.2m of cash at the plant at the transaction close, which are adjusted at the consolidated level.</t>
        </r>
      </text>
    </comment>
    <comment ref="AI73" authorId="0" shapeId="0" xr:uid="{829D13FA-545A-4925-9365-ECCD92309C87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a 28.8 Mn€ net debt reduction in 2Q21 related to Pontevedra lease contracts post the National Court ruling on its continuity
</t>
        </r>
      </text>
    </comment>
    <comment ref="AL73" authorId="0" shapeId="0" xr:uid="{72D61301-32D6-40EB-8738-C4A4EA27527D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a 28.8 Mn€ net debt reduction related to Pontevedra lease contracts post the National Court ruling on its continuity
</t>
        </r>
      </text>
    </comment>
    <comment ref="AO73" authorId="0" shapeId="0" xr:uid="{A8FC86B8-BABF-4DC8-912D-78A6949B8E0C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collection of loans to associates by €19.8m in 3Q21
</t>
        </r>
      </text>
    </comment>
    <comment ref="AP73" authorId="0" shapeId="0" xr:uid="{44881D2F-EFDE-4BEA-B999-CF41A669B99D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a 16.9 Mn€ net debt increase in 4Q22 related to Pontevedra lease contracts post the Supreme Court ruling on its continuity
</t>
        </r>
      </text>
    </comment>
    <comment ref="AX73" authorId="0" shapeId="0" xr:uid="{458B13F6-1E5A-4FFD-83A0-4648078A4E98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€22,5m intercompany loan in 2Q24 from the Pulp business to the Renewable business
</t>
        </r>
      </text>
    </comment>
    <comment ref="AZ73" authorId="0" shapeId="0" xr:uid="{B36686D5-32AC-42E5-86BB-E369A3F348DA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€21,5m intercompany loan in 4Q24 from the Pulp business to the Renewable business</t>
        </r>
      </text>
    </comment>
    <comment ref="BA73" authorId="0" shapeId="0" xr:uid="{00D63EE3-8ADA-4E9B-9736-8D939D650EAB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€44m intercompany loan in 1Q24 from the Pulp business to the Renewable business
</t>
        </r>
      </text>
    </comment>
    <comment ref="V74" authorId="0" shapeId="0" xr:uid="{DE8577A0-BBEC-433B-A530-CC84D827CDD8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a €78m intercompany equity contribution in 4Q18 from the Pulp business to the Renewable Energy business, which is adjusted at the consolidated level
</t>
        </r>
      </text>
    </comment>
    <comment ref="W74" authorId="0" shapeId="0" xr:uid="{92661346-53B6-4788-A79F-E8B1A0BDFC81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a €78m intercompany equity contribution in 4Q18 from the Pulp business to the Renewable Energy business, which is adjusted at the consolidated level
</t>
        </r>
      </text>
    </comment>
    <comment ref="X74" authorId="0" shapeId="0" xr:uid="{B67A5600-34C3-409F-A7B8-B96DD9949559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adoption on IFRS-16 on lease contracts for 46,4 Mn€ and their inclussion as financial debt</t>
        </r>
      </text>
    </comment>
    <comment ref="AA74" authorId="0" shapeId="0" xr:uid="{85C44C41-FD18-4075-9649-8DEDE8310286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€35m intercompany equity contribution in 4Q18 from the Pulp business to the Renewable Energy business, which is adjusted at the consolidated level
</t>
        </r>
      </text>
    </comment>
    <comment ref="AB74" authorId="0" shapeId="0" xr:uid="{ABE44D9F-4D8E-4E0C-8431-85BC9626CEF6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€35m intercompany equity contribution in 4Q18 from the Pulp business to the Renewable Energy business, which is adjusted at the consolidated level. 
</t>
        </r>
        <r>
          <rPr>
            <b/>
            <sz val="9"/>
            <color indexed="81"/>
            <rFont val="Tahoma"/>
            <family val="2"/>
          </rPr>
          <t>Also includes</t>
        </r>
        <r>
          <rPr>
            <sz val="9"/>
            <color indexed="81"/>
            <rFont val="Tahoma"/>
            <family val="2"/>
          </rPr>
          <t xml:space="preserve"> the adoption on IFRS-16 on lease contracts for 46,4 Mn€ and their inclussion as financial debt
</t>
        </r>
      </text>
    </comment>
    <comment ref="AI88" authorId="0" shapeId="0" xr:uid="{22E869F2-4C7D-4162-8D5F-4C6DFDEDDD87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J88" authorId="0" shapeId="0" xr:uid="{59F3FDCA-A801-4B2E-AC1A-3A81CC6D6EF6}">
      <text>
        <r>
          <rPr>
            <sz val="9"/>
            <color indexed="81"/>
            <rFont val="Tahoma"/>
            <family val="2"/>
          </rPr>
          <t>Adjusted for Pontevedra impairments and provissions in 2Q21 post National Court Ruling on its continuity</t>
        </r>
      </text>
    </comment>
    <comment ref="AK88" authorId="0" shapeId="0" xr:uid="{4DFE436A-95BF-4636-B8CA-2DE51BA92A21}">
      <text>
        <r>
          <rPr>
            <sz val="9"/>
            <color indexed="81"/>
            <rFont val="Tahoma"/>
            <family val="2"/>
          </rPr>
          <t>Adjusted for Pontevedra impairments and provissions in 2Q21 post National Court Ruling on its continuity</t>
        </r>
      </text>
    </comment>
    <comment ref="AL88" authorId="0" shapeId="0" xr:uid="{6BD917C3-2C58-4ACD-A6B9-CD713724E75B}">
      <text>
        <r>
          <rPr>
            <sz val="9"/>
            <color indexed="81"/>
            <rFont val="Tahoma"/>
            <family val="2"/>
          </rPr>
          <t>Adjusted for Pontevedra impairments and provissions in 2Q21 post National Court Ruling on its continuity</t>
        </r>
      </text>
    </comment>
    <comment ref="AM88" authorId="0" shapeId="0" xr:uid="{06035652-8529-4F31-BCAB-6E8E8136E2EF}">
      <text>
        <r>
          <rPr>
            <sz val="9"/>
            <color indexed="81"/>
            <rFont val="Tahoma"/>
            <family val="2"/>
          </rPr>
          <t>Adjusted for Pontevedra impairments and provissions in 2Q21 post National Court Ruling on its continuity</t>
        </r>
      </text>
    </comment>
    <comment ref="AP88" authorId="0" shapeId="0" xr:uid="{33489751-CF2E-41E9-B296-3CD84C62793B}">
      <text>
        <r>
          <rPr>
            <sz val="9"/>
            <color indexed="81"/>
            <rFont val="Tahoma"/>
            <family val="2"/>
          </rPr>
          <t>Adjusted for the reversal in 4Q22 of Pontevedra impairments and provissions registered in 2021 post Supreme Court ruling on its continuity</t>
        </r>
      </text>
    </comment>
    <comment ref="AQ88" authorId="0" shapeId="0" xr:uid="{62BC9036-70A2-40A3-A630-7C6D2F4734CB}">
      <text>
        <r>
          <rPr>
            <sz val="9"/>
            <color indexed="81"/>
            <rFont val="Tahoma"/>
            <family val="2"/>
          </rPr>
          <t>Adjusted for the reversal in 4Q22 of Pontevedra impairments and provissions registered in 2021 post Supreme Court ruling on its continuity</t>
        </r>
      </text>
    </comment>
    <comment ref="AR88" authorId="0" shapeId="0" xr:uid="{A1988379-8A2C-42F9-9B59-404CF4DAC9CD}">
      <text>
        <r>
          <rPr>
            <sz val="9"/>
            <color indexed="81"/>
            <rFont val="Tahoma"/>
            <family val="2"/>
          </rPr>
          <t>Adjusted for the reversal in 4Q22 of Pontevedra impairments and provissions registered in 2021 post Supreme Court ruling on its continuity</t>
        </r>
      </text>
    </comment>
    <comment ref="AS88" authorId="0" shapeId="0" xr:uid="{6D0376BB-B2C8-42F1-914B-AD4C90BC4D10}">
      <text>
        <r>
          <rPr>
            <sz val="9"/>
            <color indexed="81"/>
            <rFont val="Tahoma"/>
            <family val="2"/>
          </rPr>
          <t>Adjusted for the reversal in 4Q22 of Pontevedra impairments and provissions registered in 2021 post Supreme Court ruling on its continuity</t>
        </r>
      </text>
    </comment>
    <comment ref="AT88" authorId="0" shapeId="0" xr:uid="{1BEEE691-67CA-414D-B43A-CAF03DFD3D07}">
      <text>
        <r>
          <rPr>
            <sz val="9"/>
            <color indexed="81"/>
            <rFont val="Tahoma"/>
            <family val="2"/>
          </rPr>
          <t>Adjusted for the reversal in 4Q22 of Pontevedra impairments and provissions registered in 2021 post Supreme Court ruling on its continuity</t>
        </r>
      </text>
    </comment>
    <comment ref="A89" authorId="0" shapeId="0" xr:uid="{898652B7-9559-42C2-AC3F-AA3C3D06785D}">
      <text>
        <r>
          <rPr>
            <sz val="9"/>
            <color indexed="81"/>
            <rFont val="Tahoma"/>
            <family val="2"/>
          </rPr>
          <t xml:space="preserve">Calculated as the difference between the consolidated equity and the energy business equity
</t>
        </r>
      </text>
    </comment>
    <comment ref="B89" authorId="0" shapeId="0" xr:uid="{FB00D937-9756-4D8E-95CC-81F6D04DC433}">
      <text>
        <r>
          <rPr>
            <sz val="9"/>
            <color indexed="81"/>
            <rFont val="Tahoma"/>
            <family val="2"/>
          </rPr>
          <t xml:space="preserve">Calculated as the difference between the consolidated equity and the energy business equity
</t>
        </r>
      </text>
    </comment>
    <comment ref="AI89" authorId="0" shapeId="0" xr:uid="{6618C664-01CC-445D-AE5D-87277347E8A4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J89" authorId="0" shapeId="0" xr:uid="{2781BA20-9334-4036-83A0-3FFB2F1EA049}">
      <text>
        <r>
          <rPr>
            <sz val="9"/>
            <color indexed="81"/>
            <rFont val="Tahoma"/>
            <family val="2"/>
          </rPr>
          <t>Adjusted for Pontevedra impairments and provissions in 2Q21 post National Court Ruling on its continuity</t>
        </r>
      </text>
    </comment>
    <comment ref="AK89" authorId="0" shapeId="0" xr:uid="{37852E5E-EEA6-49F6-A6A6-A4D30F3D032D}">
      <text>
        <r>
          <rPr>
            <sz val="9"/>
            <color indexed="81"/>
            <rFont val="Tahoma"/>
            <family val="2"/>
          </rPr>
          <t>Adjusted for Pontevedra impairments and provissions in 2Q21 post National Court Ruling on its continuity</t>
        </r>
      </text>
    </comment>
    <comment ref="AL89" authorId="0" shapeId="0" xr:uid="{455C1012-885D-463D-AEC9-CD1DDEEF20D4}">
      <text>
        <r>
          <rPr>
            <sz val="9"/>
            <color indexed="81"/>
            <rFont val="Tahoma"/>
            <family val="2"/>
          </rPr>
          <t>Adjusted for Pontevedra impairments and provissions in 2Q21 post National Court Ruling on its continuity</t>
        </r>
      </text>
    </comment>
    <comment ref="AM89" authorId="0" shapeId="0" xr:uid="{AC00949A-36BD-4CB2-8ECB-2C911BF98844}">
      <text>
        <r>
          <rPr>
            <sz val="9"/>
            <color indexed="81"/>
            <rFont val="Tahoma"/>
            <family val="2"/>
          </rPr>
          <t>Adjusted for Pontevedra impairments and provissions in 2Q21 post National Court Ruling on its continuity</t>
        </r>
      </text>
    </comment>
    <comment ref="AN89" authorId="0" shapeId="0" xr:uid="{24A00FA8-53C1-4E1F-B92E-D06AD6A30DE2}">
      <text>
        <r>
          <rPr>
            <sz val="9"/>
            <color indexed="81"/>
            <rFont val="Tahoma"/>
            <family val="2"/>
          </rPr>
          <t>Adjusted for Pontevedra impairments and provissions in 2Q21 post National Court Ruling on its continuity</t>
        </r>
      </text>
    </comment>
    <comment ref="AO89" authorId="0" shapeId="0" xr:uid="{00EE7CA3-AD2F-4354-8D9D-27E27467B4D6}">
      <text>
        <r>
          <rPr>
            <sz val="9"/>
            <color indexed="81"/>
            <rFont val="Tahoma"/>
            <family val="2"/>
          </rPr>
          <t>Adjusted for Pontevedra impairments and provissions in 2Q21 post National Court Ruling on its continuity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Valdés Pombo, Alberto</author>
  </authors>
  <commentList>
    <comment ref="L56" authorId="0" shapeId="0" xr:uid="{834D0A31-FE5A-4A08-95D2-94DDCDBDF29B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de investment of €22,5m two 16 MW biomass plants in Ciudad Real and Jaén.</t>
        </r>
      </text>
    </comment>
    <comment ref="M56" authorId="0" shapeId="0" xr:uid="{A11F2EA3-700B-49A3-B5D6-40C0822D22E5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de investment of €22,5m two 16 MW biomass plants in Ciudad Real and Jaén.</t>
        </r>
      </text>
    </comment>
    <comment ref="P56" authorId="0" shapeId="0" xr:uid="{4F7931A4-BFFC-4962-8894-639DFB10E4C9}">
      <text>
        <r>
          <rPr>
            <b/>
            <sz val="9"/>
            <color indexed="81"/>
            <rFont val="Tahoma"/>
            <family val="2"/>
          </rPr>
          <t xml:space="preserve">Includes </t>
        </r>
        <r>
          <rPr>
            <sz val="9"/>
            <color indexed="81"/>
            <rFont val="Tahoma"/>
            <family val="2"/>
          </rPr>
          <t>de investment of €28,5m for the acquisition of a 14 MW biomass power plant and 13MW gas cogeneration plant in Cordoba</t>
        </r>
      </text>
    </comment>
    <comment ref="R56" authorId="0" shapeId="0" xr:uid="{3C6C7CEC-7CA7-420A-9B41-2CA0B5E89BE9}">
      <text>
        <r>
          <rPr>
            <b/>
            <sz val="9"/>
            <color indexed="81"/>
            <rFont val="Tahoma"/>
            <family val="2"/>
          </rPr>
          <t xml:space="preserve">Includes </t>
        </r>
        <r>
          <rPr>
            <sz val="9"/>
            <color indexed="81"/>
            <rFont val="Tahoma"/>
            <family val="2"/>
          </rPr>
          <t>de investment of €28,5m for the acquisition of a 14 MW biomass power plant and 13MW gas cogeneration plant in Cordoba</t>
        </r>
      </text>
    </comment>
    <comment ref="V56" authorId="0" shapeId="0" xr:uid="{C6E1DAFF-5A56-4AEA-92AE-3B3649CB3FCD}">
      <text>
        <r>
          <rPr>
            <b/>
            <sz val="9"/>
            <color indexed="81"/>
            <rFont val="Tahoma"/>
            <family val="2"/>
          </rPr>
          <t xml:space="preserve">Includes </t>
        </r>
        <r>
          <rPr>
            <sz val="9"/>
            <color indexed="81"/>
            <rFont val="Tahoma"/>
            <family val="2"/>
          </rPr>
          <t>de investment of €124,8m from the aquisition of a 50 MW thermosolar power plant, including €52,7m net debt assumed</t>
        </r>
      </text>
    </comment>
    <comment ref="W56" authorId="0" shapeId="0" xr:uid="{BC8C9D1D-92B1-4871-A0E6-D33E7C21DA3B}">
      <text>
        <r>
          <rPr>
            <b/>
            <sz val="9"/>
            <color indexed="81"/>
            <rFont val="Tahoma"/>
            <family val="2"/>
          </rPr>
          <t xml:space="preserve">Includes </t>
        </r>
        <r>
          <rPr>
            <sz val="9"/>
            <color indexed="81"/>
            <rFont val="Tahoma"/>
            <family val="2"/>
          </rPr>
          <t>de investment of €124,8m from the aquisition of a 50 MW thermosolar power plant, including €52,7m net debt assumed</t>
        </r>
      </text>
    </comment>
    <comment ref="Y56" authorId="0" shapeId="0" xr:uid="{BD14965F-F535-46D2-A330-98E110DA58DC}">
      <text>
        <r>
          <rPr>
            <b/>
            <sz val="9"/>
            <color indexed="81"/>
            <rFont val="Tahoma"/>
            <family val="2"/>
          </rPr>
          <t xml:space="preserve">Excludes </t>
        </r>
        <r>
          <rPr>
            <sz val="9"/>
            <color indexed="81"/>
            <rFont val="Tahoma"/>
            <family val="2"/>
          </rPr>
          <t>the intercompany transfer of power generation rights from the Pulp business in 2Q19 amounting to €14.4m, which is adjusted at a consolidated level</t>
        </r>
      </text>
    </comment>
    <comment ref="AB56" authorId="0" shapeId="0" xr:uid="{A74D1389-240E-4F07-A32E-93523F49F07E}">
      <text>
        <r>
          <rPr>
            <b/>
            <sz val="9"/>
            <color indexed="81"/>
            <rFont val="Tahoma"/>
            <family val="2"/>
          </rPr>
          <t xml:space="preserve">Excludes </t>
        </r>
        <r>
          <rPr>
            <sz val="9"/>
            <color indexed="81"/>
            <rFont val="Tahoma"/>
            <family val="2"/>
          </rPr>
          <t>the intercompany transfer of power generation rights from the Pulp business in 2Q19 amounting to €14.4m, which is adjusted at a consolidated level</t>
        </r>
      </text>
    </comment>
    <comment ref="AC56" authorId="0" shapeId="0" xr:uid="{A316F7EB-19EA-47B0-8873-4B179E993873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intercompany transfer of the remaining Huelva assets from the Pulp business to the Renewable Energy business in 1Q20 at a value of €26.9m, which is adjusted at a consolidated level</t>
        </r>
      </text>
    </comment>
    <comment ref="AG56" authorId="0" shapeId="0" xr:uid="{20C00F2E-BF65-4D7D-8414-2F1EDD32FC9E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intercompany transfer of the remaining Huelva assets from the Pulp business to the Renewable Energy business in 1Q20 at a value of €26.9m, which is adjusted at a consolidated level</t>
        </r>
      </text>
    </comment>
    <comment ref="Y58" authorId="0" shapeId="0" xr:uid="{9942132D-36C4-4037-A0A7-68E70E6DB0EF}">
      <text>
        <r>
          <rPr>
            <b/>
            <sz val="9"/>
            <color indexed="81"/>
            <rFont val="Tahoma"/>
            <family val="2"/>
          </rPr>
          <t xml:space="preserve">Excludes </t>
        </r>
        <r>
          <rPr>
            <sz val="9"/>
            <color indexed="81"/>
            <rFont val="Tahoma"/>
            <family val="2"/>
          </rPr>
          <t>the intercompany transfer of power generation rights from the Pulp business in 2Q19 amounting to €14.4m, which is adjusted at a consolidated level</t>
        </r>
      </text>
    </comment>
    <comment ref="AB58" authorId="0" shapeId="0" xr:uid="{6C0812E4-3472-4EFB-8E7E-91004BE436F9}">
      <text>
        <r>
          <rPr>
            <b/>
            <sz val="9"/>
            <color indexed="81"/>
            <rFont val="Tahoma"/>
            <family val="2"/>
          </rPr>
          <t xml:space="preserve">Excludes </t>
        </r>
        <r>
          <rPr>
            <sz val="9"/>
            <color indexed="81"/>
            <rFont val="Tahoma"/>
            <family val="2"/>
          </rPr>
          <t>the intercompany transfer of power generation rights from the Pulp business in 2Q19 amounting to €14.4m, which is adjusted at a consolidated level</t>
        </r>
      </text>
    </comment>
    <comment ref="AC58" authorId="0" shapeId="0" xr:uid="{77C55F49-3A3D-4045-8A32-3FF730949617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intercompany transfer of the remaining Huelva assets from the Pulp business to the Renewable Energy business in 1Q20 at a value of €26.9m, which is adjusted at a consolidated level</t>
        </r>
      </text>
    </comment>
    <comment ref="AG58" authorId="0" shapeId="0" xr:uid="{E8DE0A37-1EC8-4D71-8760-A9A3D8E7B2EB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intercompany transfer of the remaining Huelva assets from the Pulp business to the Renewable Energy business in 1Q20 at a value of €26.9m, which is adjusted at a consolidated level</t>
        </r>
      </text>
    </comment>
    <comment ref="AF59" authorId="0" shapeId="0" xr:uid="{87D432D1-BF6C-4122-AC84-1EE193FC6D97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proceeds collected from the sale of the equity stake in the 50MW solar thermal plant in 4Q20. Not including the €24.2m of cash available at the plant at the transaction close.</t>
        </r>
      </text>
    </comment>
    <comment ref="AG59" authorId="0" shapeId="0" xr:uid="{3DFCB934-C3B3-470C-BB48-8D6F4C214C05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proceeds collected from the sale of the equity stake in the 50MW solar thermal plant in 4Q20. Not including the €24.2m of cash available at the plant at the transaction close.</t>
        </r>
      </text>
    </comment>
    <comment ref="Y60" authorId="0" shapeId="0" xr:uid="{29D1BFCD-B6B6-4EE4-9D3B-7396C63A458D}">
      <text>
        <r>
          <rPr>
            <b/>
            <sz val="9"/>
            <color indexed="81"/>
            <rFont val="Tahoma"/>
            <family val="2"/>
          </rPr>
          <t xml:space="preserve">Excludes </t>
        </r>
        <r>
          <rPr>
            <sz val="9"/>
            <color indexed="81"/>
            <rFont val="Tahoma"/>
            <family val="2"/>
          </rPr>
          <t>the intercompany transfer of power generation rights from the Pulp business in 2Q19 amounting to €14.4m, which is adjusted at a consolidated level</t>
        </r>
      </text>
    </comment>
    <comment ref="AB60" authorId="0" shapeId="0" xr:uid="{2E56DE87-6CCA-4A80-8913-FA3CD143F0A3}">
      <text>
        <r>
          <rPr>
            <b/>
            <sz val="9"/>
            <color indexed="81"/>
            <rFont val="Tahoma"/>
            <family val="2"/>
          </rPr>
          <t xml:space="preserve">Excludes </t>
        </r>
        <r>
          <rPr>
            <sz val="9"/>
            <color indexed="81"/>
            <rFont val="Tahoma"/>
            <family val="2"/>
          </rPr>
          <t>the intercompany transfer of power generation rights from the Pulp business in 2Q19 amounting to €14.4m, which is adjusted at a consolidated level</t>
        </r>
      </text>
    </comment>
    <comment ref="AC60" authorId="0" shapeId="0" xr:uid="{101BAC58-F8CF-48E0-B202-D6AC0129C0BD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intercompany transfer of the remaining Huelva assets from the Pulp business to the Renewable Energy business in 1Q20 at a value of €26.9m, which is adjusted at a consolidated level</t>
        </r>
      </text>
    </comment>
    <comment ref="AG60" authorId="0" shapeId="0" xr:uid="{73741B74-C674-4B79-93B2-AF381948B14C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intercompany transfer of the remaining Huelva assets from the Pulp business to the Renewable Energy business in 1Q20 at a value of €26.9m, which is adjusted at a consolidated level</t>
        </r>
      </text>
    </comment>
    <comment ref="Y62" authorId="0" shapeId="0" xr:uid="{3A0007EB-57B5-4C3E-9F9C-47FEF2152A10}">
      <text>
        <r>
          <rPr>
            <b/>
            <sz val="9"/>
            <color indexed="81"/>
            <rFont val="Tahoma"/>
            <family val="2"/>
          </rPr>
          <t xml:space="preserve">Excludes </t>
        </r>
        <r>
          <rPr>
            <sz val="9"/>
            <color indexed="81"/>
            <rFont val="Tahoma"/>
            <family val="2"/>
          </rPr>
          <t>the intercompany transfer of power generation rights from the Pulp business in 2Q19 amounting to €14.4m, which is adjusted at a consolidated level</t>
        </r>
      </text>
    </comment>
    <comment ref="AB62" authorId="0" shapeId="0" xr:uid="{ED1EECBF-3D59-48FC-AF01-B1D57BA4F6D7}">
      <text>
        <r>
          <rPr>
            <b/>
            <sz val="9"/>
            <color indexed="81"/>
            <rFont val="Tahoma"/>
            <family val="2"/>
          </rPr>
          <t xml:space="preserve">Excludes </t>
        </r>
        <r>
          <rPr>
            <sz val="9"/>
            <color indexed="81"/>
            <rFont val="Tahoma"/>
            <family val="2"/>
          </rPr>
          <t>the intercompany transfer of power generation rights from the Pulp business in 2Q19 amounting to €14.4m, which is adjusted at a consolidated level</t>
        </r>
      </text>
    </comment>
    <comment ref="AC62" authorId="0" shapeId="0" xr:uid="{A3AAD817-66E7-4197-81D5-BECA3ACA2DDD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intercompany transfer of the remaining Huelva assets from the Pulp business to the Renewable Energy business in 1Q20 at a value of €26.9m, which is adjusted at a consolidated level</t>
        </r>
      </text>
    </comment>
    <comment ref="AG62" authorId="0" shapeId="0" xr:uid="{6FA820EA-0FB7-4338-8B45-7087B23F46E2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intercompany transfer of the remaining Huelva assets from the Pulp business to the Renewable Energy business in 1Q20 at a value of €26.9m, which is adjusted at a consolidated level</t>
        </r>
      </text>
    </comment>
    <comment ref="V67" authorId="0" shapeId="0" xr:uid="{79901CD3-74E0-4C33-8BB9-DB0BB0A90B50}">
      <text>
        <r>
          <rPr>
            <sz val="9"/>
            <color indexed="81"/>
            <rFont val="Tahoma"/>
            <family val="2"/>
          </rPr>
          <t xml:space="preserve">Includes an €52.7m adjustment corresponding to the net debt assumed from the aquisition of the 50 MW thermosolar power plant, already included as expansion capex in 4Q18
</t>
        </r>
      </text>
    </comment>
    <comment ref="W67" authorId="0" shapeId="0" xr:uid="{FC8F5461-F60A-4787-9D9A-06C32ABEF866}">
      <text>
        <r>
          <rPr>
            <sz val="9"/>
            <color indexed="81"/>
            <rFont val="Tahoma"/>
            <family val="2"/>
          </rPr>
          <t xml:space="preserve">Includes an €52.7m adjustment corresponding to the net debt assumed from the aquisition of the 50 MW thermosolar power plant, already included as expansion capex in 4Q18
</t>
        </r>
      </text>
    </comment>
    <comment ref="AO67" authorId="0" shapeId="0" xr:uid="{A0E35CE8-148D-465C-ACA7-818800727DE0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repayment of loans from associates by €38.8m in 3Q22
</t>
        </r>
      </text>
    </comment>
    <comment ref="AQ67" authorId="0" shapeId="0" xr:uid="{A9855FFA-4E3F-4CFF-814E-4078ADFF093A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repayment of loans from associates by €38.8m in 3Q22
</t>
        </r>
      </text>
    </comment>
    <comment ref="AT67" authorId="0" shapeId="0" xr:uid="{1CD2597F-D228-49F4-A8DC-EB7C9C75DF72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repayment of loans from associates by €14.7m in 3Q23 
</t>
        </r>
      </text>
    </comment>
    <comment ref="AV67" authorId="0" shapeId="0" xr:uid="{60F314C1-DA4F-43E3-B0D5-BCD6CCC64923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repayment of loans from associates by €14.7m in 3Q23 
</t>
        </r>
      </text>
    </comment>
    <comment ref="AW67" authorId="0" shapeId="0" xr:uid="{93F8E857-51A4-420C-A9D2-B8151D0F1899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€9.2m loan extended to Magnon by its non-controlling shareholder in 1Q24
</t>
        </r>
      </text>
    </comment>
    <comment ref="AX67" authorId="0" shapeId="0" xr:uid="{D215F438-E68F-4B46-9FCB-F706867616B7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€22.5m intercompany loan from the Pulp business to the Renewable business + €21.9m loan extended to Magnon by its non-controlling shareholder in 2Q24
</t>
        </r>
      </text>
    </comment>
    <comment ref="AY67" authorId="0" shapeId="0" xr:uid="{58380710-D293-4D1B-9C02-1AC248883092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partial amortization by €6.9m in 3Q24 of the loan extended to Magnon by its non-controlling shareholder 
</t>
        </r>
      </text>
    </comment>
    <comment ref="AZ67" authorId="0" shapeId="0" xr:uid="{6C1CE23C-6286-42C2-98EB-C26639547AD6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€21,5m intercompany loan from the Pulp business to the Renewable business in 4Q24</t>
        </r>
      </text>
    </comment>
    <comment ref="BA67" authorId="0" shapeId="0" xr:uid="{C133F0E7-731E-445F-9B1C-BA1857CBB419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€44m intercompany loan in 2024 from the Pulp business to the Renewable business + €24.1m loan extended to Magnon by its non-controlling shareholder in 2024
</t>
        </r>
      </text>
    </comment>
  </commentList>
</comments>
</file>

<file path=xl/sharedStrings.xml><?xml version="1.0" encoding="utf-8"?>
<sst xmlns="http://schemas.openxmlformats.org/spreadsheetml/2006/main" count="806" uniqueCount="388">
  <si>
    <t>DATOS DE MERCADO</t>
  </si>
  <si>
    <t>MARKET FIGURES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</si>
  <si>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</si>
  <si>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</si>
  <si>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</si>
  <si>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</si>
  <si>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</si>
  <si>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</si>
  <si>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</si>
  <si>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</si>
  <si>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</si>
  <si>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</si>
  <si>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</si>
  <si>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</si>
  <si>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</si>
  <si>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</si>
  <si>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</si>
  <si>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</si>
  <si>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</si>
  <si>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</si>
  <si>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</si>
  <si>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</si>
  <si>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</si>
  <si>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</si>
  <si>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</si>
  <si>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</si>
  <si>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</si>
  <si>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</si>
  <si>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</si>
  <si>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</si>
  <si>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</si>
  <si>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</si>
  <si>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</si>
  <si>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</si>
  <si>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</si>
  <si>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2T23</t>
  </si>
  <si>
    <t>3T23</t>
  </si>
  <si>
    <t>4T23</t>
  </si>
  <si>
    <t>1T24</t>
  </si>
  <si>
    <t>2T24</t>
  </si>
  <si>
    <t>3T24</t>
  </si>
  <si>
    <t>4T24</t>
  </si>
  <si>
    <t>1T25</t>
  </si>
  <si>
    <t>Precio medio BHKP (USD/t)</t>
  </si>
  <si>
    <t>BHKP (USD/t) average price</t>
  </si>
  <si>
    <t>Tipo de cambio medio (USD / €)</t>
  </si>
  <si>
    <t>Average exchange rate (USD/€)</t>
  </si>
  <si>
    <t>Precio medio BHKP (€/t)</t>
  </si>
  <si>
    <t>BHKP (€/t) average price</t>
  </si>
  <si>
    <t>VENTAS DE CELULOSA</t>
  </si>
  <si>
    <t xml:space="preserve">PULP SALES </t>
  </si>
  <si>
    <t>Ventas de celulosa (t)</t>
  </si>
  <si>
    <t>Pulp sales (t)</t>
  </si>
  <si>
    <t>Precio medio  de venta (€ / t)</t>
  </si>
  <si>
    <t>Average sales price (€/t)</t>
  </si>
  <si>
    <t>Ingresos por venta de celulosa (Mn€)</t>
  </si>
  <si>
    <t>Pulp sales revenue (€ m)</t>
  </si>
  <si>
    <t>PRODUCCIÓN DE CELULOSA (t)</t>
  </si>
  <si>
    <t>PULP PRODUCTION (t)</t>
  </si>
  <si>
    <t xml:space="preserve">   Producción de celulosa en Navia</t>
  </si>
  <si>
    <t xml:space="preserve">   Navia pulp production</t>
  </si>
  <si>
    <t xml:space="preserve">   Producción de celulosa en Pontevedra</t>
  </si>
  <si>
    <t xml:space="preserve">   Pontevedra pulp production</t>
  </si>
  <si>
    <t>Producción de celulosa</t>
  </si>
  <si>
    <t>Pulp production</t>
  </si>
  <si>
    <t>CASH COST y MARGEN OPERATIVO (€/t)</t>
  </si>
  <si>
    <t>CASH COST &amp; OPERATING MARGIN (€/t)</t>
  </si>
  <si>
    <t>Cash cost total grupo</t>
  </si>
  <si>
    <t>Total cash cost</t>
  </si>
  <si>
    <t>Margen operativo</t>
  </si>
  <si>
    <t>Operating margin</t>
  </si>
  <si>
    <t>OTROS INGRESOS (Mn€)</t>
  </si>
  <si>
    <t>OTHER REVENUES (€m)</t>
  </si>
  <si>
    <t>Ingresos venta energía ligada al proceso celulósico</t>
  </si>
  <si>
    <t>Revenues from energy sales linked to pulp</t>
  </si>
  <si>
    <t>Ingresos forestales y otros</t>
  </si>
  <si>
    <t>Forestry and other revenue</t>
  </si>
  <si>
    <t>Otros ingresos</t>
  </si>
  <si>
    <t>Other revenues</t>
  </si>
  <si>
    <t>P&amp;G (Mn€)</t>
  </si>
  <si>
    <t>P&amp;L (€m)</t>
  </si>
  <si>
    <t>Ingresos por venta de celulosa</t>
  </si>
  <si>
    <t>Pulp sales revenue</t>
  </si>
  <si>
    <t>Other income</t>
  </si>
  <si>
    <t>Importe neto de la cifra de negocios</t>
  </si>
  <si>
    <t xml:space="preserve">Total net revenue </t>
  </si>
  <si>
    <t xml:space="preserve">EBITDA </t>
  </si>
  <si>
    <t>EBITDA</t>
  </si>
  <si>
    <t>Margen EBITDA</t>
  </si>
  <si>
    <t>EBITDA margin</t>
  </si>
  <si>
    <t>Amortización</t>
  </si>
  <si>
    <t>Depreciation and amortisation</t>
  </si>
  <si>
    <t>Agotamiento forestal</t>
  </si>
  <si>
    <t>Depletion of forestry reserves</t>
  </si>
  <si>
    <t>Deterioro y resultado por enajenaciones de inmovilizado</t>
  </si>
  <si>
    <t>Impairment of and gains/(losses) on fixed-asset disposals</t>
  </si>
  <si>
    <t>Otros resultados no ordinarios de las operaciones</t>
  </si>
  <si>
    <t>Other non-ordinary results from operations</t>
  </si>
  <si>
    <t>EBIT</t>
  </si>
  <si>
    <t>Margen EBIT</t>
  </si>
  <si>
    <t>EBIT margin</t>
  </si>
  <si>
    <t>Gasto financiero neto</t>
  </si>
  <si>
    <t>Net finance cost</t>
  </si>
  <si>
    <t>Otros resultados financieros</t>
  </si>
  <si>
    <t>Other financial results</t>
  </si>
  <si>
    <t>Resultado antes de impuestos</t>
  </si>
  <si>
    <t>Profit before tax</t>
  </si>
  <si>
    <t>Impuestos sobre beneficios</t>
  </si>
  <si>
    <t>Income tax</t>
  </si>
  <si>
    <t>Beneficio Neto</t>
  </si>
  <si>
    <t>Net Income</t>
  </si>
  <si>
    <t>FLUJO DE CAJA EXPLOTACIÓN (Mn€)</t>
  </si>
  <si>
    <t>OPERATING CASH FLOW (€m)</t>
  </si>
  <si>
    <t>Ajustes de caja</t>
  </si>
  <si>
    <t>Energy regulation adjustment (regullatory collar)</t>
  </si>
  <si>
    <t>Variación del capital circulante</t>
  </si>
  <si>
    <t>Change in working capital</t>
  </si>
  <si>
    <t>Cobros / (pagos) por impuesto sobre beneficios</t>
  </si>
  <si>
    <t>Income tax received/(paid)</t>
  </si>
  <si>
    <t>Cobros / (pagos) financieros netos</t>
  </si>
  <si>
    <t>Net interest received / (paid)</t>
  </si>
  <si>
    <t>Flujo de caja de explotación</t>
  </si>
  <si>
    <t>Net cash flow from operating activities</t>
  </si>
  <si>
    <t>CAPITAL CIRCULANTE (Mn€)</t>
  </si>
  <si>
    <t>WORKING CAPITAL (€m)</t>
  </si>
  <si>
    <t>Existencias</t>
  </si>
  <si>
    <t>Inventories</t>
  </si>
  <si>
    <t>Deudores comerciales y otras cuentas a cobrar</t>
  </si>
  <si>
    <t>Trade and other receivables</t>
  </si>
  <si>
    <t>Inversiones financieras y otro activo corriente</t>
  </si>
  <si>
    <t>Financial and other current assets</t>
  </si>
  <si>
    <t>Acreedores comerciales y otras cuentas a pagar</t>
  </si>
  <si>
    <t>Trade and other payables</t>
  </si>
  <si>
    <t>INVERSIONES (Mn€)</t>
  </si>
  <si>
    <t>CAPEX (€m)</t>
  </si>
  <si>
    <t xml:space="preserve">   Inversiones de mantenimiento</t>
  </si>
  <si>
    <t xml:space="preserve">   Maintenance capex</t>
  </si>
  <si>
    <t xml:space="preserve">   Inversiones en sostenibilidad y otros</t>
  </si>
  <si>
    <t xml:space="preserve">   Sustainability and other capex</t>
  </si>
  <si>
    <t xml:space="preserve">   Inversiones de eficiencia y expansión</t>
  </si>
  <si>
    <t xml:space="preserve">   Efficiency and expansion capex</t>
  </si>
  <si>
    <t xml:space="preserve">   Inversiones financieras</t>
  </si>
  <si>
    <t xml:space="preserve">   Financial investments</t>
  </si>
  <si>
    <t>Inversiones</t>
  </si>
  <si>
    <t>Investments</t>
  </si>
  <si>
    <t>Desinversiones</t>
  </si>
  <si>
    <t>Disposals</t>
  </si>
  <si>
    <t>Flujo de caja de inversión</t>
  </si>
  <si>
    <t>Net cash flow used in investing activities</t>
  </si>
  <si>
    <t>FLUJO DE CAJA LIBRE (Mn€)</t>
  </si>
  <si>
    <t>FREE CASH FLOW (€m)</t>
  </si>
  <si>
    <t>VARIACIÓN DEUDA NETA (Mn€)</t>
  </si>
  <si>
    <t>CHANGE IN NET DEBT (€m)</t>
  </si>
  <si>
    <t>Flujo de caja libre</t>
  </si>
  <si>
    <t>Free Cash Flow</t>
  </si>
  <si>
    <t>Pago de dividendos a accionistas de la matriz</t>
  </si>
  <si>
    <t>Dividends payments to the parent shareholders</t>
  </si>
  <si>
    <t>Cobros / (pagos) por instrumentos de patrimonio</t>
  </si>
  <si>
    <t>Buyback/(disposal) of own equity instruments</t>
  </si>
  <si>
    <t>Otras variaciones en el endeudamiento</t>
  </si>
  <si>
    <t>Other changes in net financial debt</t>
  </si>
  <si>
    <t>Reducción (Aumento) de deuda neta (Mn€)</t>
  </si>
  <si>
    <t>Reduction (Increase) in net debt (Mn€)</t>
  </si>
  <si>
    <t>DEUDA NETA (Mn€)</t>
  </si>
  <si>
    <t>NET DEBT (€m)</t>
  </si>
  <si>
    <t>Deuda financiera a largo plazo</t>
  </si>
  <si>
    <t>Non-current financial debt</t>
  </si>
  <si>
    <t>Deuda financiera a corto plazo</t>
  </si>
  <si>
    <t>Current financial debt</t>
  </si>
  <si>
    <t xml:space="preserve">Deuda financiera bruta </t>
  </si>
  <si>
    <t>Gross financial debt</t>
  </si>
  <si>
    <t>Arrendamientos a largo plazo</t>
  </si>
  <si>
    <t>Non-current lease contracts</t>
  </si>
  <si>
    <t>Arrendamientos a corto plazo</t>
  </si>
  <si>
    <t>Current lease contracts</t>
  </si>
  <si>
    <t>Pasivo por arrendamientos</t>
  </si>
  <si>
    <t>Liabilities related to lease contracts</t>
  </si>
  <si>
    <t>Efectivo y equivalentes</t>
  </si>
  <si>
    <t>Cash and cash equivalents</t>
  </si>
  <si>
    <t>Inversiones financieras temporales</t>
  </si>
  <si>
    <t>Short-term financial investments</t>
  </si>
  <si>
    <t>Deuda neta del negocio de Celulosa</t>
  </si>
  <si>
    <t>Net debt Pulp business</t>
  </si>
  <si>
    <t>ROCE LTM</t>
  </si>
  <si>
    <t>EBIT (últimos 12 meses)</t>
  </si>
  <si>
    <t>EBIT (last twelve months)</t>
  </si>
  <si>
    <t>Patrimonio neto</t>
  </si>
  <si>
    <t>Equity</t>
  </si>
  <si>
    <t xml:space="preserve">Patrimonio neto medio </t>
  </si>
  <si>
    <t>Average Equity</t>
  </si>
  <si>
    <t>Deuda neta media</t>
  </si>
  <si>
    <t>Average net financial debt</t>
  </si>
  <si>
    <t>ROCE (últimos 12 meses)</t>
  </si>
  <si>
    <t>MARKET PRICES</t>
  </si>
  <si>
    <t>Precio medio del pool (€ / MWh)</t>
  </si>
  <si>
    <t>Average pool price (€/MWh)</t>
  </si>
  <si>
    <t>GENERACIÓN DE ENERGÍA RENOVABLE CON BIOMASA</t>
  </si>
  <si>
    <t>INDEPENDENT BIOMASS</t>
  </si>
  <si>
    <t xml:space="preserve">   Huelva 41 MW - Biomasa</t>
  </si>
  <si>
    <t xml:space="preserve">   Huelva 41 MW - Biomass</t>
  </si>
  <si>
    <t xml:space="preserve">   Jaén 16 MW - Biomasa</t>
  </si>
  <si>
    <t xml:space="preserve">   Jaén 16 MW - Biomass</t>
  </si>
  <si>
    <t xml:space="preserve">   Ciudad Real 16 MW - Biomasa</t>
  </si>
  <si>
    <t xml:space="preserve">   Ciudad Real 16 MW - Biomass</t>
  </si>
  <si>
    <t xml:space="preserve">   Córdoba 27 MW - Biomasa + Gas</t>
  </si>
  <si>
    <t xml:space="preserve">   Córdoba 27 MW - Biomass</t>
  </si>
  <si>
    <t xml:space="preserve">   Ciudad Real 50 MW - Termosolar</t>
  </si>
  <si>
    <t xml:space="preserve">   Ciudad Real 50 MW - Solar thermal plant</t>
  </si>
  <si>
    <t xml:space="preserve">   Huelva 50 MW - Biomasa</t>
  </si>
  <si>
    <t xml:space="preserve">   Huelva 50 MW - Biomass</t>
  </si>
  <si>
    <t xml:space="preserve">   Mérida 20 MW - Biomasa</t>
  </si>
  <si>
    <t xml:space="preserve">   Mérida 20 MW - Biomass</t>
  </si>
  <si>
    <t xml:space="preserve">   Huelva 46 MW - Biomasa</t>
  </si>
  <si>
    <t xml:space="preserve">   Huelva 46 MW - Biomass</t>
  </si>
  <si>
    <t xml:space="preserve">   Ciudad Real 50 MW - Biomasa</t>
  </si>
  <si>
    <t xml:space="preserve">   Ciudad Real 50 MW - Biomass</t>
  </si>
  <si>
    <t>Ventas del energía (MWh)</t>
  </si>
  <si>
    <t>Energy sales (MWh)</t>
  </si>
  <si>
    <t>Precio medio de venta  - Pool + Collar + Ro (€ / MWh)</t>
  </si>
  <si>
    <t>Average sales price - Pool + Collar + Ro (€/MWh)</t>
  </si>
  <si>
    <t>Retribución media de la inversión (Mn€)</t>
  </si>
  <si>
    <t>Remuneration for investment (€ m)</t>
  </si>
  <si>
    <t>Ingresos por venta de energía  (Mn€)</t>
  </si>
  <si>
    <t>Revenue from energy sales  (€ m)</t>
  </si>
  <si>
    <t>P&amp;G (€m)</t>
  </si>
  <si>
    <t>Ingresos por venta de energía electrica</t>
  </si>
  <si>
    <t>Revenue from energy sales</t>
  </si>
  <si>
    <t xml:space="preserve">Total revenue </t>
  </si>
  <si>
    <t xml:space="preserve">Amortización </t>
  </si>
  <si>
    <t>Other finance income/(cost)</t>
  </si>
  <si>
    <t>Resultado Socios Externos</t>
  </si>
  <si>
    <t>Non-controlling interests</t>
  </si>
  <si>
    <t>Beneficio Neto Atribuible</t>
  </si>
  <si>
    <t>Atributable Net Income</t>
  </si>
  <si>
    <t>Cash flow adjustments</t>
  </si>
  <si>
    <t>Income tax received / (paid)</t>
  </si>
  <si>
    <t>Current financial and other assets</t>
  </si>
  <si>
    <t xml:space="preserve">   Inversiones de mantenimiento </t>
  </si>
  <si>
    <t>Maintenance capex</t>
  </si>
  <si>
    <t>Sustainability and other capex</t>
  </si>
  <si>
    <t>Efficiency and expansion capex</t>
  </si>
  <si>
    <t>Financial investments</t>
  </si>
  <si>
    <t>Net cash flow from investing activities</t>
  </si>
  <si>
    <t>Pago de dividendos a accionistas de minoritarios</t>
  </si>
  <si>
    <t>Dividends payments to minorities</t>
  </si>
  <si>
    <t>Deuda financieroa a corto plazo</t>
  </si>
  <si>
    <t>Efectivo para cobertura de deuda financiera</t>
  </si>
  <si>
    <t>Cash reserve for debt service</t>
  </si>
  <si>
    <t>Deuda neta del negocio de Renovables</t>
  </si>
  <si>
    <t>Net debt Renewable business</t>
  </si>
  <si>
    <t>EBIT LTM</t>
  </si>
  <si>
    <t xml:space="preserve">Patrimonio neto </t>
  </si>
  <si>
    <t>Resultado operaciones de cobertura</t>
  </si>
  <si>
    <t>Foreign exchange hedging operations results</t>
  </si>
  <si>
    <t>Aprovisionamientos y variación de existencias</t>
  </si>
  <si>
    <t>Cost of sales and change in inventories of finished products</t>
  </si>
  <si>
    <t>Gastos de personal</t>
  </si>
  <si>
    <t>Personnel expenses</t>
  </si>
  <si>
    <t>Otros gastos de explotación</t>
  </si>
  <si>
    <t>Other operating expenses</t>
  </si>
  <si>
    <t>Other finance income/(costs)</t>
  </si>
  <si>
    <t>Beneficio Neto por Acción (BPA)</t>
  </si>
  <si>
    <t>Earnings per Share (EPS)</t>
  </si>
  <si>
    <t>FLUJO DE CAJA (Mn€)</t>
  </si>
  <si>
    <t>CASH FLOW STATEMENT (€m)</t>
  </si>
  <si>
    <t>Resultado del ejercicio antes de impuestos</t>
  </si>
  <si>
    <t>Consolidated profit/(loss) for the period before tax</t>
  </si>
  <si>
    <t xml:space="preserve">   Amortización del inmovilizado</t>
  </si>
  <si>
    <t xml:space="preserve">   Depreciation and amortisation</t>
  </si>
  <si>
    <t xml:space="preserve">   Variación de provisiones y otros gastos a distribuir</t>
  </si>
  <si>
    <t xml:space="preserve">   Changes in provisions and other deferred expense</t>
  </si>
  <si>
    <t xml:space="preserve">   Deterioro y resultado por enajenaciones de inmovilizado</t>
  </si>
  <si>
    <t xml:space="preserve">   Impairment of gains/(losses) on disposals intangible assets </t>
  </si>
  <si>
    <t xml:space="preserve">   Resultado financiero neto</t>
  </si>
  <si>
    <t xml:space="preserve">   Net finance result</t>
  </si>
  <si>
    <t xml:space="preserve">   Ajuste regulación eléctrica (collar regulatorio)</t>
  </si>
  <si>
    <t xml:space="preserve">   Energy regulation adjustment (regulatory collar)</t>
  </si>
  <si>
    <t xml:space="preserve">   Subvenciones transferidas a resultados</t>
  </si>
  <si>
    <t xml:space="preserve">   Government grants taken to income</t>
  </si>
  <si>
    <t xml:space="preserve">Ajustes al resultado </t>
  </si>
  <si>
    <t>Adjustments to profit</t>
  </si>
  <si>
    <t xml:space="preserve">   Existencias</t>
  </si>
  <si>
    <t xml:space="preserve">   Inventories</t>
  </si>
  <si>
    <t xml:space="preserve">   Deudores comerciales y otras cuentas a cobrar</t>
  </si>
  <si>
    <t xml:space="preserve">   Trade and other receivables</t>
  </si>
  <si>
    <t xml:space="preserve">   Inversiones financieras y otro activo corriente</t>
  </si>
  <si>
    <t xml:space="preserve">   Current financial and other assets</t>
  </si>
  <si>
    <t xml:space="preserve">   Acreedores comerciales y otras cuentas a pagar</t>
  </si>
  <si>
    <t xml:space="preserve">   Trade and other payables</t>
  </si>
  <si>
    <t>Cambios en el capital circulante</t>
  </si>
  <si>
    <t>Changes in working capital</t>
  </si>
  <si>
    <t xml:space="preserve">   Pagos financieros netos</t>
  </si>
  <si>
    <t xml:space="preserve">   Interest paid</t>
  </si>
  <si>
    <t xml:space="preserve">   Cobros de dividendos </t>
  </si>
  <si>
    <t xml:space="preserve">    Dividends received</t>
  </si>
  <si>
    <t xml:space="preserve">   Cobros/(Pagos) por impuesto sobre beneficios</t>
  </si>
  <si>
    <t xml:space="preserve">    Income tax received/(paid)</t>
  </si>
  <si>
    <t xml:space="preserve">   Otros cobros / (Pagos)</t>
  </si>
  <si>
    <t xml:space="preserve">    Other collections/(payments)</t>
  </si>
  <si>
    <t>Otros flujos de efectivo de las actividades de explotación</t>
  </si>
  <si>
    <t>Other cash flows from operating activities</t>
  </si>
  <si>
    <t xml:space="preserve">   Activos materiales y biológicos</t>
  </si>
  <si>
    <t>Property, plant and equipment</t>
  </si>
  <si>
    <t xml:space="preserve">   Activos inmateriales</t>
  </si>
  <si>
    <t>Intangible assets</t>
  </si>
  <si>
    <t xml:space="preserve">   Otros activos financieros</t>
  </si>
  <si>
    <t>Other financial assets</t>
  </si>
  <si>
    <t xml:space="preserve">   Cobros por desinversiones </t>
  </si>
  <si>
    <t>Cobros / (pagos) por instrumentos de pasivo financiero</t>
  </si>
  <si>
    <t>Proceeds from and repayments of financial liabilities</t>
  </si>
  <si>
    <t>Pagos por dividendos a accionistas de la matriz</t>
  </si>
  <si>
    <t>Pagos por dividendos a accionistas minoritarios</t>
  </si>
  <si>
    <t>Dividends payments to minority interests</t>
  </si>
  <si>
    <t>Flujo de caja de financiación</t>
  </si>
  <si>
    <t>Net cash flow from/ (used in) financing activities</t>
  </si>
  <si>
    <t>Aumento / (disminución) neta de efectivo y equivalentes</t>
  </si>
  <si>
    <t>Net increase/(decrease) in cash and cash equivalents</t>
  </si>
  <si>
    <t>Other changes in net debt</t>
  </si>
  <si>
    <t>BALANCE (Mn€)</t>
  </si>
  <si>
    <t>BALANCE SHEET (€m)</t>
  </si>
  <si>
    <t>Inmovilizado inmaterial</t>
  </si>
  <si>
    <t>Inmovilizado material</t>
  </si>
  <si>
    <t>Activos biológicos</t>
  </si>
  <si>
    <t>Biological assets</t>
  </si>
  <si>
    <t>Participaciones a largo plazo en empresas del Grupo</t>
  </si>
  <si>
    <t xml:space="preserve">Non-current investments in Group companies </t>
  </si>
  <si>
    <t>Préstamos a largo plazo con empresas del Grupo</t>
  </si>
  <si>
    <t xml:space="preserve">Non-current borrowings to Group companies </t>
  </si>
  <si>
    <t>Activos por impuestos diferidos</t>
  </si>
  <si>
    <t>Deferred tax assets</t>
  </si>
  <si>
    <t>Otros activos no corrientes</t>
  </si>
  <si>
    <t>Non-current financial assets</t>
  </si>
  <si>
    <t xml:space="preserve">Cash reserve for debt service  </t>
  </si>
  <si>
    <t>Activos no corrientes</t>
  </si>
  <si>
    <t>Total non-current assets</t>
  </si>
  <si>
    <t>Activos no corrientes mantenidos para la venta</t>
  </si>
  <si>
    <t>Non-current assets held for sale</t>
  </si>
  <si>
    <t>Trade and other accounts receivable</t>
  </si>
  <si>
    <t>Impuesto sobre beneficios</t>
  </si>
  <si>
    <t>Otros activos corrientes</t>
  </si>
  <si>
    <t>Other current assets</t>
  </si>
  <si>
    <t>Derivados de cobertura</t>
  </si>
  <si>
    <t>Hedging derivatives</t>
  </si>
  <si>
    <t>Current financial investments</t>
  </si>
  <si>
    <t xml:space="preserve">Cash and cash equivalents </t>
  </si>
  <si>
    <t>Activos corrientes</t>
  </si>
  <si>
    <t>Total current assets</t>
  </si>
  <si>
    <t>TOTAL ACTIVO</t>
  </si>
  <si>
    <t>TOTAL ASSETS</t>
  </si>
  <si>
    <t>Patrimonio neto atribuible a la Sociedad Dominante</t>
  </si>
  <si>
    <t>Equity attributable to the Parent</t>
  </si>
  <si>
    <t>Intereses minoritarios</t>
  </si>
  <si>
    <t>Minority interest</t>
  </si>
  <si>
    <t>Total Patrimonio neto</t>
  </si>
  <si>
    <t xml:space="preserve">Total Equity </t>
  </si>
  <si>
    <t>Deudas a largo plazo con EEGG y asociadas</t>
  </si>
  <si>
    <t>Non-current loans to Group companies and associates</t>
  </si>
  <si>
    <t>Deuda financiera y arrendamientos a largo plazo</t>
  </si>
  <si>
    <t>Non-current borrowings and lease contracts</t>
  </si>
  <si>
    <t>Non-current derivatives</t>
  </si>
  <si>
    <t>Pasivos por impuestos diferidos</t>
  </si>
  <si>
    <t>Deferred tax liabilities</t>
  </si>
  <si>
    <t>Provisiones para riesgos y gastos</t>
  </si>
  <si>
    <t>Non-current provisions</t>
  </si>
  <si>
    <t>Otros pasivos no corrientes</t>
  </si>
  <si>
    <t>Other non-current liabilities</t>
  </si>
  <si>
    <t>Pasivos no corrientes</t>
  </si>
  <si>
    <t>Total non-current liabilities</t>
  </si>
  <si>
    <t>Pasivos vincualdos con activos mantenidos para la venta</t>
  </si>
  <si>
    <t>Liabilities linked to non-current assets held for sale</t>
  </si>
  <si>
    <t>Deuda financiera y arrendamientos a corto plazo</t>
  </si>
  <si>
    <t>Current borrowings and lease contracts</t>
  </si>
  <si>
    <t>Current derivatives</t>
  </si>
  <si>
    <t>Acreedores comerciales y otras deudas</t>
  </si>
  <si>
    <t>Trade and other account payable</t>
  </si>
  <si>
    <t>Deudas a corto plazo con EEGG y asociadas</t>
  </si>
  <si>
    <t>Current loans to Group companies and associates</t>
  </si>
  <si>
    <t>Current provisions</t>
  </si>
  <si>
    <t>Pasivos corrientes</t>
  </si>
  <si>
    <t>Total current liabilities</t>
  </si>
  <si>
    <t>TOTAL PASIVO</t>
  </si>
  <si>
    <t>TOTAL EQUITY AND LIABILITIES</t>
  </si>
  <si>
    <t xml:space="preserve">Deuda neta media </t>
  </si>
  <si>
    <t>2T25</t>
  </si>
  <si>
    <t>3T25</t>
  </si>
  <si>
    <t>4T25</t>
  </si>
  <si>
    <t>1T26</t>
  </si>
  <si>
    <t>2T26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</si>
</sst>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#,##0.0_);\(#,##0.0\);\-"/>
    <numFmt numFmtId="165" formatCode="#,##0.00_);\(#,##0.00\);\-"/>
    <numFmt numFmtId="166" formatCode="0.0"/>
    <numFmt numFmtId="167" formatCode="#,##0_);\(#,##0\);\-"/>
    <numFmt numFmtId="168" formatCode="#,##0.0"/>
    <numFmt numFmtId="169" formatCode="#,##0.000_);\(#,##0.000\);\-"/>
    <numFmt numFmtId="170" formatCode="0.0%"/>
    <numFmt numFmtId="171" formatCode="#,##0.0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6" tint="-0.499984740745262"/>
      <name val="Aptos Narrow"/>
      <family val="2"/>
      <scheme val="minor"/>
    </font>
    <font>
      <sz val="10"/>
      <name val="Arial"/>
      <family val="2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theme="0" tint="-0.499984740745262"/>
      <name val="Aptos Narrow"/>
      <family val="2"/>
      <scheme val="minor"/>
    </font>
    <font>
      <b/>
      <sz val="12"/>
      <color theme="0" tint="-0.499984740745262"/>
      <name val="Aptos Narrow"/>
      <family val="2"/>
      <scheme val="minor"/>
    </font>
    <font>
      <sz val="12"/>
      <color theme="0" tint="-0.499984740745262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theme="6" tint="-0.499984740745262"/>
      </top>
      <bottom style="medium">
        <color theme="6" tint="-0.499984740745262"/>
      </bottom>
      <diagonal/>
    </border>
    <border>
      <left style="dotted">
        <color theme="6" tint="-0.499984740745262"/>
      </left>
      <right style="dotted">
        <color theme="6" tint="-0.499984740745262"/>
      </right>
      <top/>
      <bottom/>
      <diagonal/>
    </border>
    <border>
      <left style="dotted">
        <color theme="6" tint="-0.499984740745262"/>
      </left>
      <right/>
      <top/>
      <bottom/>
      <diagonal/>
    </border>
    <border>
      <left/>
      <right/>
      <top style="thin">
        <color theme="6" tint="-0.499984740745262"/>
      </top>
      <bottom style="thin">
        <color theme="6" tint="-0.499984740745262"/>
      </bottom>
      <diagonal/>
    </border>
    <border>
      <left style="dotted">
        <color theme="6" tint="-0.499984740745262"/>
      </left>
      <right style="dotted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dotted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/>
      <right/>
      <top/>
      <bottom style="thin">
        <color theme="6" tint="-0.499984740745262"/>
      </bottom>
      <diagonal/>
    </border>
    <border>
      <left/>
      <right/>
      <top style="thin">
        <color theme="6" tint="-0.499984740745262"/>
      </top>
      <bottom/>
      <diagonal/>
    </border>
    <border>
      <left style="dotted">
        <color theme="6" tint="-0.499984740745262"/>
      </left>
      <right style="dotted">
        <color theme="6" tint="-0.499984740745262"/>
      </right>
      <top style="thin">
        <color theme="6" tint="-0.499984740745262"/>
      </top>
      <bottom/>
      <diagonal/>
    </border>
    <border>
      <left style="dotted">
        <color theme="6" tint="-0.499984740745262"/>
      </left>
      <right/>
      <top style="thin">
        <color theme="6" tint="-0.499984740745262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/>
      <top style="medium">
        <color theme="6" tint="-0.499984740745262"/>
      </top>
      <bottom style="thin">
        <color theme="6" tint="-0.499984740745262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theme="6" tint="-0.499984740745262"/>
      </bottom>
      <diagonal/>
    </border>
    <border>
      <left/>
      <right/>
      <top style="thin">
        <color auto="1"/>
      </top>
      <bottom style="thin">
        <color theme="6" tint="-0.499984740745262"/>
      </bottom>
      <diagonal/>
    </border>
    <border>
      <left style="dotted">
        <color auto="1"/>
      </left>
      <right style="dotted">
        <color auto="1"/>
      </right>
      <top style="thin">
        <color theme="6" tint="-0.499984740745262"/>
      </top>
      <bottom/>
      <diagonal/>
    </border>
    <border>
      <left style="dotted">
        <color auto="1"/>
      </left>
      <right style="dotted">
        <color auto="1"/>
      </right>
      <top/>
      <bottom style="thin">
        <color theme="6" tint="-0.499984740745262"/>
      </bottom>
      <diagonal/>
    </border>
    <border>
      <left style="dotted">
        <color auto="1"/>
      </left>
      <right style="dotted">
        <color auto="1"/>
      </right>
      <top style="thin">
        <color theme="6" tint="-0.499984740745262"/>
      </top>
      <bottom style="thin">
        <color theme="6" tint="-0.499984740745262"/>
      </bottom>
      <diagonal/>
    </border>
    <border>
      <left style="dotted">
        <color auto="1"/>
      </left>
      <right style="dotted">
        <color auto="1"/>
      </right>
      <top style="medium">
        <color theme="6" tint="-0.499984740745262"/>
      </top>
      <bottom style="thin">
        <color theme="6" tint="-0.499984740745262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 style="medium">
        <color theme="6" tint="-0.499984740745262"/>
      </top>
      <bottom/>
      <diagonal/>
    </border>
    <border>
      <left style="dotted">
        <color auto="1"/>
      </left>
      <right/>
      <top style="thin">
        <color theme="6" tint="-0.499984740745262"/>
      </top>
      <bottom/>
      <diagonal/>
    </border>
    <border>
      <left style="dotted">
        <color auto="1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dotted">
        <color theme="6" tint="-0.499984740745262"/>
      </left>
      <right style="dotted">
        <color theme="6" tint="-0.499984740745262"/>
      </right>
      <top style="medium">
        <color theme="6" tint="-0.499984740745262"/>
      </top>
      <bottom style="thin">
        <color theme="6" tint="-0.499984740745262"/>
      </bottom>
      <diagonal/>
    </border>
    <border>
      <left style="dotted">
        <color theme="6" tint="-0.499984740745262"/>
      </left>
      <right style="dotted">
        <color theme="6" tint="-0.499984740745262"/>
      </right>
      <top/>
      <bottom style="thin">
        <color theme="6" tint="-0.499984740745262"/>
      </bottom>
      <diagonal/>
    </border>
    <border>
      <left/>
      <right/>
      <top style="thin">
        <color auto="1"/>
      </top>
      <bottom/>
      <diagonal/>
    </border>
    <border>
      <left style="dotted">
        <color theme="6" tint="-0.499984740745262"/>
      </left>
      <right style="dotted">
        <color theme="6" tint="-0.499984740745262"/>
      </right>
      <top style="medium">
        <color theme="6" tint="-0.499984740745262"/>
      </top>
      <bottom/>
      <diagonal/>
    </border>
    <border>
      <left/>
      <right/>
      <top style="medium">
        <color theme="6" tint="-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theme="6" tint="-0.499984740745262"/>
      </left>
      <right style="dotted">
        <color theme="6" tint="-0.499984740745262"/>
      </right>
      <top style="medium">
        <color theme="6" tint="-0.499984740745262"/>
      </top>
      <bottom style="medium">
        <color theme="6" tint="-0.499984740745262"/>
      </bottom>
      <diagonal/>
    </border>
    <border>
      <left/>
      <right/>
      <top/>
      <bottom style="medium">
        <color theme="6" tint="-0.49998474074526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18">
    <xf numFmtId="0" fontId="0" fillId="0" borderId="0" xfId="0"/>
    <xf numFmtId="0" fontId="4" fillId="2" borderId="1" xfId="0" applyFont="1" applyFill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0" borderId="0" xfId="2" applyFont="1"/>
    <xf numFmtId="164" fontId="6" fillId="0" borderId="0" xfId="2" applyNumberFormat="1" applyFont="1" applyAlignment="1">
      <alignment horizontal="center"/>
    </xf>
    <xf numFmtId="164" fontId="6" fillId="3" borderId="2" xfId="2" applyNumberFormat="1" applyFont="1" applyFill="1" applyBorder="1" applyAlignment="1">
      <alignment horizontal="center"/>
    </xf>
    <xf numFmtId="164" fontId="6" fillId="3" borderId="3" xfId="2" applyNumberFormat="1" applyFont="1" applyFill="1" applyBorder="1" applyAlignment="1">
      <alignment horizontal="center"/>
    </xf>
    <xf numFmtId="0" fontId="6" fillId="0" borderId="0" xfId="2" applyFont="1" applyAlignment="1">
      <alignment horizontal="left"/>
    </xf>
    <xf numFmtId="165" fontId="6" fillId="0" borderId="0" xfId="2" applyNumberFormat="1" applyFont="1" applyAlignment="1">
      <alignment horizontal="center"/>
    </xf>
    <xf numFmtId="165" fontId="6" fillId="3" borderId="2" xfId="2" applyNumberFormat="1" applyFont="1" applyFill="1" applyBorder="1" applyAlignment="1">
      <alignment horizontal="center"/>
    </xf>
    <xf numFmtId="165" fontId="6" fillId="3" borderId="3" xfId="2" applyNumberFormat="1" applyFont="1" applyFill="1" applyBorder="1" applyAlignment="1">
      <alignment horizontal="center"/>
    </xf>
    <xf numFmtId="0" fontId="6" fillId="0" borderId="4" xfId="2" applyFont="1" applyBorder="1" applyAlignment="1">
      <alignment horizontal="left"/>
    </xf>
    <xf numFmtId="164" fontId="6" fillId="0" borderId="4" xfId="2" applyNumberFormat="1" applyFont="1" applyBorder="1" applyAlignment="1">
      <alignment horizontal="center"/>
    </xf>
    <xf numFmtId="164" fontId="6" fillId="3" borderId="5" xfId="2" applyNumberFormat="1" applyFont="1" applyFill="1" applyBorder="1" applyAlignment="1">
      <alignment horizontal="center"/>
    </xf>
    <xf numFmtId="164" fontId="6" fillId="3" borderId="6" xfId="2" applyNumberFormat="1" applyFont="1" applyFill="1" applyBorder="1" applyAlignment="1">
      <alignment horizontal="center"/>
    </xf>
    <xf numFmtId="0" fontId="7" fillId="0" borderId="0" xfId="0" applyFont="1"/>
    <xf numFmtId="166" fontId="0" fillId="0" borderId="0" xfId="0" applyNumberFormat="1" applyAlignment="1">
      <alignment horizontal="center"/>
    </xf>
    <xf numFmtId="167" fontId="6" fillId="0" borderId="0" xfId="2" applyNumberFormat="1" applyFont="1" applyAlignment="1">
      <alignment horizontal="center"/>
    </xf>
    <xf numFmtId="0" fontId="8" fillId="0" borderId="7" xfId="2" applyFont="1" applyBorder="1"/>
    <xf numFmtId="0" fontId="8" fillId="0" borderId="0" xfId="2" applyFont="1"/>
    <xf numFmtId="167" fontId="8" fillId="0" borderId="0" xfId="2" applyNumberFormat="1" applyFont="1" applyAlignment="1">
      <alignment horizontal="center"/>
    </xf>
    <xf numFmtId="167" fontId="8" fillId="3" borderId="2" xfId="2" applyNumberFormat="1" applyFont="1" applyFill="1" applyBorder="1" applyAlignment="1">
      <alignment horizontal="center"/>
    </xf>
    <xf numFmtId="167" fontId="8" fillId="3" borderId="3" xfId="2" applyNumberFormat="1" applyFont="1" applyFill="1" applyBorder="1" applyAlignment="1">
      <alignment horizontal="center"/>
    </xf>
    <xf numFmtId="0" fontId="7" fillId="0" borderId="8" xfId="0" applyFont="1" applyBorder="1"/>
    <xf numFmtId="164" fontId="7" fillId="0" borderId="8" xfId="0" applyNumberFormat="1" applyFont="1" applyBorder="1" applyAlignment="1">
      <alignment horizontal="center"/>
    </xf>
    <xf numFmtId="164" fontId="7" fillId="3" borderId="9" xfId="0" applyNumberFormat="1" applyFont="1" applyFill="1" applyBorder="1" applyAlignment="1">
      <alignment horizontal="center"/>
    </xf>
    <xf numFmtId="164" fontId="7" fillId="3" borderId="10" xfId="0" applyNumberFormat="1" applyFont="1" applyFill="1" applyBorder="1" applyAlignment="1">
      <alignment horizontal="center"/>
    </xf>
    <xf numFmtId="0" fontId="9" fillId="0" borderId="4" xfId="0" applyFont="1" applyBorder="1"/>
    <xf numFmtId="0" fontId="9" fillId="0" borderId="0" xfId="0" applyFont="1"/>
    <xf numFmtId="164" fontId="9" fillId="0" borderId="4" xfId="0" applyNumberFormat="1" applyFont="1" applyBorder="1" applyAlignment="1">
      <alignment horizontal="center"/>
    </xf>
    <xf numFmtId="164" fontId="9" fillId="3" borderId="5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167" fontId="6" fillId="3" borderId="2" xfId="2" applyNumberFormat="1" applyFont="1" applyFill="1" applyBorder="1" applyAlignment="1">
      <alignment horizontal="center"/>
    </xf>
    <xf numFmtId="167" fontId="6" fillId="3" borderId="3" xfId="2" applyNumberFormat="1" applyFont="1" applyFill="1" applyBorder="1" applyAlignment="1">
      <alignment horizontal="center"/>
    </xf>
    <xf numFmtId="0" fontId="8" fillId="0" borderId="4" xfId="2" applyFont="1" applyBorder="1" applyAlignment="1">
      <alignment horizontal="left"/>
    </xf>
    <xf numFmtId="0" fontId="8" fillId="0" borderId="0" xfId="2" applyFont="1" applyAlignment="1">
      <alignment horizontal="left"/>
    </xf>
    <xf numFmtId="167" fontId="8" fillId="0" borderId="4" xfId="2" applyNumberFormat="1" applyFont="1" applyBorder="1" applyAlignment="1">
      <alignment horizontal="center"/>
    </xf>
    <xf numFmtId="167" fontId="8" fillId="3" borderId="5" xfId="2" applyNumberFormat="1" applyFont="1" applyFill="1" applyBorder="1" applyAlignment="1">
      <alignment horizontal="center"/>
    </xf>
    <xf numFmtId="167" fontId="8" fillId="3" borderId="6" xfId="2" applyNumberFormat="1" applyFont="1" applyFill="1" applyBorder="1" applyAlignment="1">
      <alignment horizontal="center"/>
    </xf>
    <xf numFmtId="166" fontId="7" fillId="0" borderId="0" xfId="0" applyNumberFormat="1" applyFont="1" applyAlignment="1">
      <alignment horizontal="center"/>
    </xf>
    <xf numFmtId="164" fontId="10" fillId="0" borderId="0" xfId="2" applyNumberFormat="1" applyFont="1" applyAlignment="1">
      <alignment horizontal="center"/>
    </xf>
    <xf numFmtId="0" fontId="10" fillId="0" borderId="0" xfId="0" applyFont="1"/>
    <xf numFmtId="0" fontId="6" fillId="0" borderId="4" xfId="2" applyFont="1" applyBorder="1"/>
    <xf numFmtId="0" fontId="8" fillId="0" borderId="4" xfId="2" applyFont="1" applyBorder="1"/>
    <xf numFmtId="164" fontId="8" fillId="0" borderId="4" xfId="2" applyNumberFormat="1" applyFont="1" applyBorder="1" applyAlignment="1">
      <alignment horizontal="center"/>
    </xf>
    <xf numFmtId="164" fontId="8" fillId="3" borderId="5" xfId="2" applyNumberFormat="1" applyFont="1" applyFill="1" applyBorder="1" applyAlignment="1">
      <alignment horizontal="center"/>
    </xf>
    <xf numFmtId="164" fontId="8" fillId="0" borderId="5" xfId="2" applyNumberFormat="1" applyFont="1" applyBorder="1" applyAlignment="1">
      <alignment horizontal="center"/>
    </xf>
    <xf numFmtId="164" fontId="8" fillId="0" borderId="0" xfId="2" applyNumberFormat="1" applyFont="1" applyAlignment="1">
      <alignment horizontal="center"/>
    </xf>
    <xf numFmtId="164" fontId="8" fillId="3" borderId="6" xfId="2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3" borderId="11" xfId="0" applyNumberFormat="1" applyFont="1" applyFill="1" applyBorder="1" applyAlignment="1">
      <alignment horizontal="center"/>
    </xf>
    <xf numFmtId="164" fontId="8" fillId="0" borderId="12" xfId="2" applyNumberFormat="1" applyFont="1" applyBorder="1" applyAlignment="1">
      <alignment horizontal="center"/>
    </xf>
    <xf numFmtId="164" fontId="8" fillId="3" borderId="13" xfId="2" applyNumberFormat="1" applyFont="1" applyFill="1" applyBorder="1" applyAlignment="1">
      <alignment horizontal="center"/>
    </xf>
    <xf numFmtId="164" fontId="8" fillId="0" borderId="14" xfId="2" applyNumberFormat="1" applyFont="1" applyBorder="1" applyAlignment="1">
      <alignment horizontal="center"/>
    </xf>
    <xf numFmtId="0" fontId="8" fillId="0" borderId="8" xfId="2" applyFont="1" applyBorder="1"/>
    <xf numFmtId="164" fontId="8" fillId="0" borderId="8" xfId="2" applyNumberFormat="1" applyFont="1" applyBorder="1" applyAlignment="1">
      <alignment horizontal="center"/>
    </xf>
    <xf numFmtId="164" fontId="8" fillId="3" borderId="15" xfId="2" applyNumberFormat="1" applyFont="1" applyFill="1" applyBorder="1" applyAlignment="1">
      <alignment horizontal="center"/>
    </xf>
    <xf numFmtId="0" fontId="11" fillId="0" borderId="7" xfId="2" applyFont="1" applyBorder="1"/>
    <xf numFmtId="0" fontId="11" fillId="0" borderId="0" xfId="2" applyFont="1"/>
    <xf numFmtId="9" fontId="12" fillId="0" borderId="7" xfId="1" applyFont="1" applyFill="1" applyBorder="1" applyAlignment="1">
      <alignment horizontal="center"/>
    </xf>
    <xf numFmtId="9" fontId="12" fillId="3" borderId="16" xfId="1" applyFont="1" applyFill="1" applyBorder="1" applyAlignment="1">
      <alignment horizontal="center"/>
    </xf>
    <xf numFmtId="0" fontId="13" fillId="0" borderId="0" xfId="0" applyFont="1"/>
    <xf numFmtId="164" fontId="6" fillId="3" borderId="11" xfId="2" applyNumberFormat="1" applyFont="1" applyFill="1" applyBorder="1" applyAlignment="1">
      <alignment horizontal="center"/>
    </xf>
    <xf numFmtId="168" fontId="7" fillId="0" borderId="0" xfId="0" applyNumberFormat="1" applyFont="1"/>
    <xf numFmtId="168" fontId="7" fillId="0" borderId="0" xfId="0" applyNumberFormat="1" applyFont="1" applyAlignment="1">
      <alignment horizontal="center"/>
    </xf>
    <xf numFmtId="164" fontId="8" fillId="3" borderId="17" xfId="2" applyNumberFormat="1" applyFont="1" applyFill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3" borderId="11" xfId="0" applyNumberFormat="1" applyFont="1" applyFill="1" applyBorder="1" applyAlignment="1">
      <alignment horizontal="center"/>
    </xf>
    <xf numFmtId="0" fontId="8" fillId="0" borderId="12" xfId="2" applyFont="1" applyBorder="1"/>
    <xf numFmtId="164" fontId="8" fillId="3" borderId="18" xfId="2" applyNumberFormat="1" applyFont="1" applyFill="1" applyBorder="1" applyAlignment="1">
      <alignment horizontal="center"/>
    </xf>
    <xf numFmtId="169" fontId="8" fillId="0" borderId="0" xfId="2" applyNumberFormat="1" applyFont="1" applyAlignment="1">
      <alignment horizontal="center"/>
    </xf>
    <xf numFmtId="164" fontId="6" fillId="3" borderId="19" xfId="2" applyNumberFormat="1" applyFont="1" applyFill="1" applyBorder="1" applyAlignment="1">
      <alignment horizontal="center"/>
    </xf>
    <xf numFmtId="164" fontId="6" fillId="3" borderId="20" xfId="2" applyNumberFormat="1" applyFont="1" applyFill="1" applyBorder="1" applyAlignment="1">
      <alignment horizontal="center"/>
    </xf>
    <xf numFmtId="169" fontId="6" fillId="0" borderId="0" xfId="2" applyNumberFormat="1" applyFont="1" applyAlignment="1">
      <alignment horizontal="center"/>
    </xf>
    <xf numFmtId="164" fontId="8" fillId="3" borderId="21" xfId="2" applyNumberFormat="1" applyFont="1" applyFill="1" applyBorder="1" applyAlignment="1">
      <alignment horizontal="center"/>
    </xf>
    <xf numFmtId="164" fontId="7" fillId="3" borderId="19" xfId="0" applyNumberFormat="1" applyFont="1" applyFill="1" applyBorder="1" applyAlignment="1">
      <alignment horizontal="center"/>
    </xf>
    <xf numFmtId="164" fontId="8" fillId="3" borderId="22" xfId="2" applyNumberFormat="1" applyFont="1" applyFill="1" applyBorder="1" applyAlignment="1">
      <alignment horizontal="center"/>
    </xf>
    <xf numFmtId="164" fontId="8" fillId="0" borderId="1" xfId="2" applyNumberFormat="1" applyFont="1" applyBorder="1" applyAlignment="1">
      <alignment horizontal="center"/>
    </xf>
    <xf numFmtId="0" fontId="6" fillId="0" borderId="0" xfId="0" applyFont="1"/>
    <xf numFmtId="164" fontId="10" fillId="0" borderId="0" xfId="0" applyNumberFormat="1" applyFont="1" applyAlignment="1">
      <alignment horizontal="center"/>
    </xf>
    <xf numFmtId="164" fontId="10" fillId="3" borderId="11" xfId="0" applyNumberFormat="1" applyFont="1" applyFill="1" applyBorder="1" applyAlignment="1">
      <alignment horizontal="center"/>
    </xf>
    <xf numFmtId="164" fontId="6" fillId="3" borderId="19" xfId="0" applyNumberFormat="1" applyFont="1" applyFill="1" applyBorder="1" applyAlignment="1">
      <alignment horizontal="center"/>
    </xf>
    <xf numFmtId="164" fontId="6" fillId="5" borderId="0" xfId="0" applyNumberFormat="1" applyFont="1" applyFill="1" applyAlignment="1">
      <alignment horizontal="center"/>
    </xf>
    <xf numFmtId="0" fontId="14" fillId="0" borderId="0" xfId="2" applyFont="1"/>
    <xf numFmtId="164" fontId="14" fillId="0" borderId="4" xfId="2" applyNumberFormat="1" applyFont="1" applyBorder="1" applyAlignment="1">
      <alignment horizontal="center"/>
    </xf>
    <xf numFmtId="164" fontId="14" fillId="3" borderId="17" xfId="2" applyNumberFormat="1" applyFont="1" applyFill="1" applyBorder="1" applyAlignment="1">
      <alignment horizontal="center"/>
    </xf>
    <xf numFmtId="0" fontId="10" fillId="0" borderId="0" xfId="2" applyFont="1"/>
    <xf numFmtId="164" fontId="10" fillId="3" borderId="0" xfId="2" applyNumberFormat="1" applyFont="1" applyFill="1" applyAlignment="1">
      <alignment horizontal="center"/>
    </xf>
    <xf numFmtId="0" fontId="4" fillId="4" borderId="1" xfId="0" applyFont="1" applyFill="1" applyBorder="1"/>
    <xf numFmtId="170" fontId="8" fillId="3" borderId="17" xfId="1" applyNumberFormat="1" applyFont="1" applyFill="1" applyBorder="1" applyAlignment="1">
      <alignment horizontal="center"/>
    </xf>
    <xf numFmtId="170" fontId="8" fillId="0" borderId="4" xfId="1" applyNumberFormat="1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4" fillId="4" borderId="0" xfId="0" applyFont="1" applyFill="1"/>
    <xf numFmtId="0" fontId="7" fillId="0" borderId="12" xfId="0" applyFont="1" applyBorder="1"/>
    <xf numFmtId="166" fontId="7" fillId="0" borderId="12" xfId="0" applyNumberFormat="1" applyFont="1" applyBorder="1" applyAlignment="1">
      <alignment horizontal="center"/>
    </xf>
    <xf numFmtId="166" fontId="7" fillId="3" borderId="23" xfId="0" applyNumberFormat="1" applyFont="1" applyFill="1" applyBorder="1" applyAlignment="1">
      <alignment horizontal="center"/>
    </xf>
    <xf numFmtId="167" fontId="8" fillId="0" borderId="7" xfId="2" applyNumberFormat="1" applyFont="1" applyBorder="1" applyAlignment="1">
      <alignment horizontal="center"/>
    </xf>
    <xf numFmtId="167" fontId="8" fillId="3" borderId="24" xfId="2" applyNumberFormat="1" applyFont="1" applyFill="1" applyBorder="1" applyAlignment="1">
      <alignment horizontal="center"/>
    </xf>
    <xf numFmtId="166" fontId="7" fillId="3" borderId="2" xfId="0" applyNumberFormat="1" applyFont="1" applyFill="1" applyBorder="1" applyAlignment="1">
      <alignment horizontal="center"/>
    </xf>
    <xf numFmtId="0" fontId="6" fillId="0" borderId="0" xfId="2" applyFont="1" applyAlignment="1">
      <alignment horizontal="center"/>
    </xf>
    <xf numFmtId="166" fontId="9" fillId="0" borderId="4" xfId="0" applyNumberFormat="1" applyFont="1" applyBorder="1" applyAlignment="1">
      <alignment horizontal="center"/>
    </xf>
    <xf numFmtId="166" fontId="9" fillId="3" borderId="5" xfId="0" applyNumberFormat="1" applyFont="1" applyFill="1" applyBorder="1" applyAlignment="1">
      <alignment horizontal="center"/>
    </xf>
    <xf numFmtId="166" fontId="8" fillId="3" borderId="5" xfId="0" applyNumberFormat="1" applyFont="1" applyFill="1" applyBorder="1" applyAlignment="1">
      <alignment horizontal="center"/>
    </xf>
    <xf numFmtId="166" fontId="9" fillId="0" borderId="0" xfId="0" applyNumberFormat="1" applyFont="1" applyAlignment="1">
      <alignment horizontal="center"/>
    </xf>
    <xf numFmtId="164" fontId="6" fillId="0" borderId="8" xfId="2" applyNumberFormat="1" applyFont="1" applyBorder="1" applyAlignment="1">
      <alignment horizontal="center"/>
    </xf>
    <xf numFmtId="164" fontId="6" fillId="3" borderId="9" xfId="2" applyNumberFormat="1" applyFont="1" applyFill="1" applyBorder="1" applyAlignment="1">
      <alignment horizontal="center"/>
    </xf>
    <xf numFmtId="164" fontId="8" fillId="3" borderId="23" xfId="2" applyNumberFormat="1" applyFont="1" applyFill="1" applyBorder="1" applyAlignment="1">
      <alignment horizontal="center"/>
    </xf>
    <xf numFmtId="164" fontId="8" fillId="3" borderId="9" xfId="2" applyNumberFormat="1" applyFont="1" applyFill="1" applyBorder="1" applyAlignment="1">
      <alignment horizontal="center"/>
    </xf>
    <xf numFmtId="9" fontId="12" fillId="3" borderId="24" xfId="1" applyFont="1" applyFill="1" applyBorder="1" applyAlignment="1">
      <alignment horizontal="center"/>
    </xf>
    <xf numFmtId="0" fontId="9" fillId="0" borderId="25" xfId="0" applyFont="1" applyBorder="1"/>
    <xf numFmtId="0" fontId="8" fillId="0" borderId="0" xfId="2" applyFont="1" applyAlignment="1">
      <alignment horizontal="center"/>
    </xf>
    <xf numFmtId="0" fontId="3" fillId="0" borderId="0" xfId="0" applyFont="1"/>
    <xf numFmtId="164" fontId="6" fillId="0" borderId="7" xfId="2" applyNumberFormat="1" applyFont="1" applyBorder="1" applyAlignment="1">
      <alignment horizontal="center"/>
    </xf>
    <xf numFmtId="164" fontId="6" fillId="3" borderId="24" xfId="2" applyNumberFormat="1" applyFont="1" applyFill="1" applyBorder="1" applyAlignment="1">
      <alignment horizontal="center"/>
    </xf>
    <xf numFmtId="164" fontId="14" fillId="0" borderId="0" xfId="2" applyNumberFormat="1" applyFont="1" applyAlignment="1">
      <alignment horizontal="center"/>
    </xf>
    <xf numFmtId="164" fontId="6" fillId="3" borderId="26" xfId="2" applyNumberFormat="1" applyFont="1" applyFill="1" applyBorder="1" applyAlignment="1">
      <alignment horizontal="center"/>
    </xf>
    <xf numFmtId="167" fontId="8" fillId="0" borderId="8" xfId="2" applyNumberFormat="1" applyFont="1" applyBorder="1" applyAlignment="1">
      <alignment horizontal="center"/>
    </xf>
    <xf numFmtId="164" fontId="7" fillId="0" borderId="0" xfId="0" applyNumberFormat="1" applyFont="1"/>
    <xf numFmtId="164" fontId="6" fillId="0" borderId="0" xfId="2" applyNumberFormat="1" applyFont="1" applyAlignment="1">
      <alignment horizontal="left"/>
    </xf>
    <xf numFmtId="164" fontId="7" fillId="3" borderId="2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164" fontId="8" fillId="4" borderId="5" xfId="2" applyNumberFormat="1" applyFont="1" applyFill="1" applyBorder="1" applyAlignment="1">
      <alignment horizontal="center"/>
    </xf>
    <xf numFmtId="164" fontId="8" fillId="3" borderId="0" xfId="2" applyNumberFormat="1" applyFont="1" applyFill="1" applyAlignment="1">
      <alignment horizontal="center"/>
    </xf>
    <xf numFmtId="166" fontId="6" fillId="0" borderId="0" xfId="2" applyNumberFormat="1" applyFont="1" applyAlignment="1">
      <alignment horizontal="center"/>
    </xf>
    <xf numFmtId="0" fontId="8" fillId="0" borderId="27" xfId="2" applyFont="1" applyBorder="1"/>
    <xf numFmtId="164" fontId="8" fillId="0" borderId="27" xfId="2" applyNumberFormat="1" applyFont="1" applyBorder="1" applyAlignment="1">
      <alignment horizontal="center"/>
    </xf>
    <xf numFmtId="170" fontId="8" fillId="3" borderId="26" xfId="1" applyNumberFormat="1" applyFont="1" applyFill="1" applyBorder="1" applyAlignment="1">
      <alignment horizontal="center"/>
    </xf>
    <xf numFmtId="170" fontId="8" fillId="0" borderId="27" xfId="1" applyNumberFormat="1" applyFont="1" applyFill="1" applyBorder="1" applyAlignment="1">
      <alignment horizontal="center"/>
    </xf>
    <xf numFmtId="0" fontId="7" fillId="0" borderId="28" xfId="0" applyFont="1" applyBorder="1"/>
    <xf numFmtId="165" fontId="6" fillId="0" borderId="4" xfId="2" applyNumberFormat="1" applyFont="1" applyBorder="1" applyAlignment="1">
      <alignment horizontal="center"/>
    </xf>
    <xf numFmtId="165" fontId="6" fillId="3" borderId="5" xfId="2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8" fillId="3" borderId="26" xfId="2" applyNumberFormat="1" applyFont="1" applyFill="1" applyBorder="1" applyAlignment="1">
      <alignment horizontal="center"/>
    </xf>
    <xf numFmtId="0" fontId="7" fillId="0" borderId="7" xfId="0" applyFont="1" applyBorder="1"/>
    <xf numFmtId="164" fontId="7" fillId="0" borderId="7" xfId="0" applyNumberFormat="1" applyFont="1" applyBorder="1" applyAlignment="1">
      <alignment horizontal="center"/>
    </xf>
    <xf numFmtId="164" fontId="7" fillId="3" borderId="24" xfId="0" applyNumberFormat="1" applyFont="1" applyFill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164" fontId="6" fillId="3" borderId="24" xfId="0" applyNumberFormat="1" applyFont="1" applyFill="1" applyBorder="1" applyAlignment="1">
      <alignment horizontal="center"/>
    </xf>
    <xf numFmtId="0" fontId="8" fillId="0" borderId="0" xfId="0" applyFont="1"/>
    <xf numFmtId="164" fontId="8" fillId="0" borderId="0" xfId="0" applyNumberFormat="1" applyFont="1" applyAlignment="1">
      <alignment horizontal="center"/>
    </xf>
    <xf numFmtId="164" fontId="8" fillId="3" borderId="2" xfId="0" applyNumberFormat="1" applyFont="1" applyFill="1" applyBorder="1" applyAlignment="1">
      <alignment horizontal="center"/>
    </xf>
    <xf numFmtId="0" fontId="8" fillId="0" borderId="1" xfId="2" applyFont="1" applyBorder="1"/>
    <xf numFmtId="164" fontId="8" fillId="3" borderId="29" xfId="2" applyNumberFormat="1" applyFont="1" applyFill="1" applyBorder="1" applyAlignment="1">
      <alignment horizontal="center"/>
    </xf>
    <xf numFmtId="0" fontId="6" fillId="0" borderId="30" xfId="2" applyFont="1" applyBorder="1" applyAlignment="1">
      <alignment horizontal="center"/>
    </xf>
    <xf numFmtId="0" fontId="4" fillId="0" borderId="30" xfId="2" applyFont="1" applyBorder="1" applyAlignment="1">
      <alignment horizontal="center"/>
    </xf>
    <xf numFmtId="168" fontId="4" fillId="0" borderId="30" xfId="2" applyNumberFormat="1" applyFont="1" applyBorder="1" applyAlignment="1">
      <alignment horizontal="center"/>
    </xf>
    <xf numFmtId="0" fontId="17" fillId="0" borderId="0" xfId="0" applyFont="1"/>
    <xf numFmtId="164" fontId="0" fillId="0" borderId="0" xfId="0" applyNumberFormat="1" applyAlignment="1">
      <alignment horizontal="center"/>
    </xf>
    <xf numFmtId="164" fontId="17" fillId="0" borderId="0" xfId="0" applyNumberFormat="1" applyFont="1" applyAlignment="1">
      <alignment horizontal="center"/>
    </xf>
    <xf numFmtId="168" fontId="0" fillId="0" borderId="0" xfId="0" applyNumberFormat="1" applyAlignment="1">
      <alignment horizontal="center"/>
    </xf>
    <xf numFmtId="164" fontId="8" fillId="3" borderId="2" xfId="2" applyNumberFormat="1" applyFont="1" applyFill="1" applyBorder="1" applyAlignment="1">
      <alignment horizontal="center"/>
    </xf>
    <xf numFmtId="168" fontId="0" fillId="0" borderId="0" xfId="0" applyNumberFormat="1"/>
    <xf numFmtId="0" fontId="6" fillId="0" borderId="8" xfId="2" applyFont="1" applyBorder="1"/>
    <xf numFmtId="0" fontId="2" fillId="0" borderId="0" xfId="0" applyFont="1" applyAlignment="1">
      <alignment horizontal="center"/>
    </xf>
    <xf numFmtId="164" fontId="6" fillId="6" borderId="2" xfId="2" applyNumberFormat="1" applyFont="1" applyFill="1" applyBorder="1" applyAlignment="1">
      <alignment horizontal="center"/>
    </xf>
    <xf numFmtId="164" fontId="8" fillId="6" borderId="23" xfId="2" applyNumberFormat="1" applyFont="1" applyFill="1" applyBorder="1" applyAlignment="1">
      <alignment horizontal="center"/>
    </xf>
    <xf numFmtId="164" fontId="6" fillId="6" borderId="11" xfId="2" applyNumberFormat="1" applyFont="1" applyFill="1" applyBorder="1" applyAlignment="1">
      <alignment horizontal="center"/>
    </xf>
    <xf numFmtId="164" fontId="6" fillId="6" borderId="19" xfId="2" applyNumberFormat="1" applyFont="1" applyFill="1" applyBorder="1" applyAlignment="1">
      <alignment horizontal="center"/>
    </xf>
    <xf numFmtId="164" fontId="6" fillId="6" borderId="20" xfId="2" applyNumberFormat="1" applyFont="1" applyFill="1" applyBorder="1" applyAlignment="1">
      <alignment horizontal="center"/>
    </xf>
    <xf numFmtId="164" fontId="8" fillId="6" borderId="5" xfId="2" applyNumberFormat="1" applyFont="1" applyFill="1" applyBorder="1" applyAlignment="1">
      <alignment horizontal="center"/>
    </xf>
    <xf numFmtId="164" fontId="9" fillId="6" borderId="6" xfId="0" applyNumberFormat="1" applyFont="1" applyFill="1" applyBorder="1" applyAlignment="1">
      <alignment horizontal="center"/>
    </xf>
    <xf numFmtId="164" fontId="6" fillId="6" borderId="11" xfId="0" applyNumberFormat="1" applyFont="1" applyFill="1" applyBorder="1" applyAlignment="1">
      <alignment horizontal="center"/>
    </xf>
    <xf numFmtId="164" fontId="8" fillId="6" borderId="18" xfId="2" applyNumberFormat="1" applyFont="1" applyFill="1" applyBorder="1" applyAlignment="1">
      <alignment horizontal="center"/>
    </xf>
    <xf numFmtId="164" fontId="8" fillId="6" borderId="9" xfId="2" applyNumberFormat="1" applyFont="1" applyFill="1" applyBorder="1" applyAlignment="1">
      <alignment horizontal="center"/>
    </xf>
    <xf numFmtId="9" fontId="12" fillId="6" borderId="24" xfId="1" applyFont="1" applyFill="1" applyBorder="1" applyAlignment="1">
      <alignment horizontal="center"/>
    </xf>
    <xf numFmtId="164" fontId="7" fillId="6" borderId="2" xfId="0" applyNumberFormat="1" applyFont="1" applyFill="1" applyBorder="1" applyAlignment="1">
      <alignment horizontal="center"/>
    </xf>
    <xf numFmtId="164" fontId="6" fillId="6" borderId="2" xfId="0" applyNumberFormat="1" applyFont="1" applyFill="1" applyBorder="1" applyAlignment="1">
      <alignment horizontal="center"/>
    </xf>
    <xf numFmtId="164" fontId="6" fillId="6" borderId="9" xfId="2" applyNumberFormat="1" applyFont="1" applyFill="1" applyBorder="1" applyAlignment="1">
      <alignment horizontal="center"/>
    </xf>
    <xf numFmtId="165" fontId="6" fillId="6" borderId="5" xfId="2" applyNumberFormat="1" applyFont="1" applyFill="1" applyBorder="1" applyAlignment="1">
      <alignment horizontal="center"/>
    </xf>
    <xf numFmtId="164" fontId="8" fillId="6" borderId="26" xfId="2" applyNumberFormat="1" applyFont="1" applyFill="1" applyBorder="1" applyAlignment="1">
      <alignment horizontal="center"/>
    </xf>
    <xf numFmtId="164" fontId="6" fillId="6" borderId="24" xfId="0" applyNumberFormat="1" applyFont="1" applyFill="1" applyBorder="1" applyAlignment="1">
      <alignment horizontal="center"/>
    </xf>
    <xf numFmtId="164" fontId="8" fillId="6" borderId="2" xfId="0" applyNumberFormat="1" applyFont="1" applyFill="1" applyBorder="1" applyAlignment="1">
      <alignment horizontal="center"/>
    </xf>
    <xf numFmtId="164" fontId="8" fillId="6" borderId="29" xfId="2" applyNumberFormat="1" applyFont="1" applyFill="1" applyBorder="1" applyAlignment="1">
      <alignment horizontal="center"/>
    </xf>
    <xf numFmtId="164" fontId="8" fillId="2" borderId="29" xfId="2" applyNumberFormat="1" applyFont="1" applyFill="1" applyBorder="1" applyAlignment="1">
      <alignment horizontal="center"/>
    </xf>
    <xf numFmtId="164" fontId="6" fillId="6" borderId="19" xfId="0" applyNumberFormat="1" applyFont="1" applyFill="1" applyBorder="1" applyAlignment="1">
      <alignment horizontal="center"/>
    </xf>
    <xf numFmtId="164" fontId="8" fillId="6" borderId="17" xfId="2" applyNumberFormat="1" applyFont="1" applyFill="1" applyBorder="1" applyAlignment="1">
      <alignment horizontal="center"/>
    </xf>
    <xf numFmtId="164" fontId="8" fillId="6" borderId="2" xfId="2" applyNumberFormat="1" applyFont="1" applyFill="1" applyBorder="1" applyAlignment="1">
      <alignment horizontal="center"/>
    </xf>
    <xf numFmtId="164" fontId="7" fillId="6" borderId="9" xfId="0" applyNumberFormat="1" applyFont="1" applyFill="1" applyBorder="1" applyAlignment="1">
      <alignment horizontal="center"/>
    </xf>
    <xf numFmtId="164" fontId="7" fillId="6" borderId="24" xfId="0" applyNumberFormat="1" applyFont="1" applyFill="1" applyBorder="1" applyAlignment="1">
      <alignment horizontal="center"/>
    </xf>
    <xf numFmtId="170" fontId="8" fillId="6" borderId="26" xfId="1" applyNumberFormat="1" applyFont="1" applyFill="1" applyBorder="1" applyAlignment="1">
      <alignment horizontal="center"/>
    </xf>
    <xf numFmtId="164" fontId="6" fillId="6" borderId="3" xfId="2" applyNumberFormat="1" applyFont="1" applyFill="1" applyBorder="1" applyAlignment="1">
      <alignment horizontal="center"/>
    </xf>
    <xf numFmtId="165" fontId="6" fillId="6" borderId="3" xfId="2" applyNumberFormat="1" applyFont="1" applyFill="1" applyBorder="1" applyAlignment="1">
      <alignment horizontal="center"/>
    </xf>
    <xf numFmtId="164" fontId="6" fillId="6" borderId="6" xfId="2" applyNumberFormat="1" applyFont="1" applyFill="1" applyBorder="1" applyAlignment="1">
      <alignment horizontal="center"/>
    </xf>
    <xf numFmtId="167" fontId="8" fillId="6" borderId="3" xfId="2" applyNumberFormat="1" applyFont="1" applyFill="1" applyBorder="1" applyAlignment="1">
      <alignment horizontal="center"/>
    </xf>
    <xf numFmtId="164" fontId="7" fillId="6" borderId="10" xfId="0" applyNumberFormat="1" applyFont="1" applyFill="1" applyBorder="1" applyAlignment="1">
      <alignment horizontal="center"/>
    </xf>
    <xf numFmtId="167" fontId="6" fillId="6" borderId="3" xfId="2" applyNumberFormat="1" applyFont="1" applyFill="1" applyBorder="1" applyAlignment="1">
      <alignment horizontal="center"/>
    </xf>
    <xf numFmtId="167" fontId="8" fillId="6" borderId="6" xfId="2" applyNumberFormat="1" applyFont="1" applyFill="1" applyBorder="1" applyAlignment="1">
      <alignment horizontal="center"/>
    </xf>
    <xf numFmtId="164" fontId="8" fillId="6" borderId="6" xfId="2" applyNumberFormat="1" applyFont="1" applyFill="1" applyBorder="1" applyAlignment="1">
      <alignment horizontal="center"/>
    </xf>
    <xf numFmtId="164" fontId="8" fillId="6" borderId="13" xfId="2" applyNumberFormat="1" applyFont="1" applyFill="1" applyBorder="1" applyAlignment="1">
      <alignment horizontal="center"/>
    </xf>
    <xf numFmtId="164" fontId="8" fillId="6" borderId="15" xfId="2" applyNumberFormat="1" applyFont="1" applyFill="1" applyBorder="1" applyAlignment="1">
      <alignment horizontal="center"/>
    </xf>
    <xf numFmtId="9" fontId="12" fillId="6" borderId="16" xfId="1" applyFont="1" applyFill="1" applyBorder="1" applyAlignment="1">
      <alignment horizontal="center"/>
    </xf>
    <xf numFmtId="164" fontId="7" fillId="6" borderId="11" xfId="0" applyNumberFormat="1" applyFont="1" applyFill="1" applyBorder="1" applyAlignment="1">
      <alignment horizontal="center"/>
    </xf>
    <xf numFmtId="164" fontId="8" fillId="6" borderId="21" xfId="2" applyNumberFormat="1" applyFont="1" applyFill="1" applyBorder="1" applyAlignment="1">
      <alignment horizontal="center"/>
    </xf>
    <xf numFmtId="164" fontId="7" fillId="6" borderId="19" xfId="0" applyNumberFormat="1" applyFont="1" applyFill="1" applyBorder="1" applyAlignment="1">
      <alignment horizontal="center"/>
    </xf>
    <xf numFmtId="164" fontId="8" fillId="6" borderId="22" xfId="2" applyNumberFormat="1" applyFont="1" applyFill="1" applyBorder="1" applyAlignment="1">
      <alignment horizontal="center"/>
    </xf>
    <xf numFmtId="164" fontId="10" fillId="6" borderId="0" xfId="2" applyNumberFormat="1" applyFont="1" applyFill="1" applyAlignment="1">
      <alignment horizontal="center"/>
    </xf>
    <xf numFmtId="170" fontId="8" fillId="6" borderId="17" xfId="1" applyNumberFormat="1" applyFont="1" applyFill="1" applyBorder="1" applyAlignment="1">
      <alignment horizontal="center"/>
    </xf>
    <xf numFmtId="166" fontId="7" fillId="6" borderId="23" xfId="0" applyNumberFormat="1" applyFont="1" applyFill="1" applyBorder="1" applyAlignment="1">
      <alignment horizontal="center"/>
    </xf>
    <xf numFmtId="167" fontId="6" fillId="6" borderId="2" xfId="2" applyNumberFormat="1" applyFont="1" applyFill="1" applyBorder="1" applyAlignment="1">
      <alignment horizontal="center"/>
    </xf>
    <xf numFmtId="167" fontId="8" fillId="6" borderId="24" xfId="2" applyNumberFormat="1" applyFont="1" applyFill="1" applyBorder="1" applyAlignment="1">
      <alignment horizontal="center"/>
    </xf>
    <xf numFmtId="166" fontId="7" fillId="6" borderId="2" xfId="0" applyNumberFormat="1" applyFont="1" applyFill="1" applyBorder="1" applyAlignment="1">
      <alignment horizontal="center"/>
    </xf>
    <xf numFmtId="166" fontId="8" fillId="6" borderId="5" xfId="0" applyNumberFormat="1" applyFont="1" applyFill="1" applyBorder="1" applyAlignment="1">
      <alignment horizontal="center"/>
    </xf>
    <xf numFmtId="164" fontId="6" fillId="6" borderId="24" xfId="2" applyNumberFormat="1" applyFont="1" applyFill="1" applyBorder="1" applyAlignment="1">
      <alignment horizontal="center"/>
    </xf>
    <xf numFmtId="164" fontId="6" fillId="6" borderId="26" xfId="2" applyNumberFormat="1" applyFont="1" applyFill="1" applyBorder="1" applyAlignment="1">
      <alignment horizontal="center"/>
    </xf>
    <xf numFmtId="164" fontId="8" fillId="2" borderId="5" xfId="2" applyNumberFormat="1" applyFont="1" applyFill="1" applyBorder="1" applyAlignment="1">
      <alignment horizontal="center"/>
    </xf>
    <xf numFmtId="164" fontId="8" fillId="6" borderId="0" xfId="2" applyNumberFormat="1" applyFont="1" applyFill="1" applyAlignment="1">
      <alignment horizontal="center"/>
    </xf>
    <xf numFmtId="164" fontId="0" fillId="0" borderId="0" xfId="0" applyNumberFormat="1"/>
    <xf numFmtId="164" fontId="9" fillId="6" borderId="5" xfId="0" applyNumberFormat="1" applyFont="1" applyFill="1" applyBorder="1" applyAlignment="1">
      <alignment horizontal="center"/>
    </xf>
    <xf numFmtId="164" fontId="6" fillId="6" borderId="5" xfId="2" applyNumberFormat="1" applyFont="1" applyFill="1" applyBorder="1" applyAlignment="1">
      <alignment horizontal="center"/>
    </xf>
    <xf numFmtId="171" fontId="7" fillId="0" borderId="0" xfId="0" applyNumberFormat="1" applyFont="1"/>
    <xf numFmtId="2" fontId="7" fillId="0" borderId="12" xfId="0" applyNumberFormat="1" applyFont="1" applyBorder="1" applyAlignment="1">
      <alignment horizontal="center"/>
    </xf>
    <xf numFmtId="166" fontId="6" fillId="0" borderId="12" xfId="0" applyNumberFormat="1" applyFont="1" applyBorder="1" applyAlignment="1">
      <alignment horizontal="center"/>
    </xf>
    <xf numFmtId="166" fontId="0" fillId="0" borderId="0" xfId="0" applyNumberFormat="1"/>
    <xf numFmtId="166" fontId="7" fillId="0" borderId="0" xfId="0" applyNumberFormat="1" applyFont="1"/>
  </cellXfs>
  <cellStyles count="3">
    <cellStyle name="0752-93035" xfId="2" xr:uid="{DB91BED2-CD9A-4D50-BBB1-AD2737D7FC1B}"/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0C76C74E-214B-4ADD-A91D-2886252D6A1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DC626-8B6B-4A89-B627-F1E5F1F87A1D}">
  <sheetPr>
    <tabColor theme="6" tint="-0.249977111117893"/>
  </sheetPr>
  <dimension ref="A1:BK121"/>
  <sheetViews>
    <sheetView showGridLines="0" tabSelected="1" zoomScale="69" zoomScaleNormal="90" zoomScaleSheetLayoutView="50" workbookViewId="0">
      <pane xSplit="2" topLeftCell="C1" activePane="topRight" state="frozen"/>
      <selection activeCell="BB95" sqref="BB95"/>
      <selection pane="topRight" activeCell="BI7" sqref="BI7"/>
    </sheetView>
  </sheetViews>
  <sheetFormatPr baseColWidth="10" defaultRowHeight="14.5" outlineLevelCol="1" x14ac:dyDescent="0.35"/>
  <cols>
    <col min="1" max="1" width="54.54296875" customWidth="1"/>
    <col min="2" max="2" width="54.54296875" hidden="1" customWidth="1" outlineLevel="1"/>
    <col min="3" max="3" width="2" customWidth="1" collapsed="1"/>
    <col min="4" max="7" width="11.54296875" style="135" hidden="1" customWidth="1" outlineLevel="1"/>
    <col min="8" max="8" width="11.54296875" style="135" customWidth="1" collapsed="1"/>
    <col min="9" max="12" width="11.54296875" style="135" hidden="1" customWidth="1" outlineLevel="1"/>
    <col min="13" max="13" width="11.54296875" style="135" customWidth="1" collapsed="1"/>
    <col min="14" max="17" width="11.54296875" style="135" hidden="1" customWidth="1" outlineLevel="1"/>
    <col min="18" max="18" width="11.54296875" style="135" customWidth="1" collapsed="1"/>
    <col min="19" max="22" width="11.54296875" style="135" hidden="1" customWidth="1" outlineLevel="1"/>
    <col min="23" max="23" width="11.54296875" style="135" customWidth="1" collapsed="1"/>
    <col min="24" max="26" width="11.54296875" style="135" hidden="1" customWidth="1" outlineLevel="1"/>
    <col min="27" max="27" width="12" style="135" hidden="1" customWidth="1" outlineLevel="1"/>
    <col min="28" max="28" width="11.54296875" style="135" customWidth="1" collapsed="1"/>
    <col min="29" max="32" width="11.54296875" style="135" hidden="1" customWidth="1" outlineLevel="1"/>
    <col min="33" max="33" width="11.54296875" style="135" customWidth="1" collapsed="1"/>
    <col min="34" max="37" width="11.54296875" style="135" hidden="1" customWidth="1" outlineLevel="1"/>
    <col min="38" max="38" width="11.54296875" style="135" customWidth="1" collapsed="1"/>
    <col min="39" max="42" width="11.54296875" style="135" hidden="1" customWidth="1" outlineLevel="1"/>
    <col min="43" max="43" width="11.54296875" style="135" customWidth="1" collapsed="1"/>
    <col min="44" max="47" width="11.54296875" style="135" hidden="1" customWidth="1" outlineLevel="1"/>
    <col min="48" max="48" width="11.54296875" style="135" customWidth="1" collapsed="1"/>
    <col min="49" max="50" width="11.54296875" style="135" hidden="1" customWidth="1" outlineLevel="1"/>
    <col min="51" max="52" width="10.81640625" style="135" hidden="1" customWidth="1" outlineLevel="1"/>
    <col min="53" max="53" width="11.54296875" style="135" customWidth="1" collapsed="1"/>
    <col min="54" max="56" width="10.81640625" style="135" hidden="1" customWidth="1" outlineLevel="1"/>
    <col min="57" max="57" width="10.90625" hidden="1" customWidth="1" outlineLevel="1"/>
    <col min="58" max="58" width="10.90625" collapsed="1"/>
  </cols>
  <sheetData>
    <row r="1" spans="1:63" ht="16.5" thickBot="1" x14ac:dyDescent="0.45">
      <c r="A1" s="1" t="s">
        <v>79</v>
      </c>
      <c r="B1" s="96" t="s">
        <v>80</v>
      </c>
      <c r="C1" s="2"/>
      <c r="D1" s="3" t="s">
        <v>2</v>
      </c>
      <c r="E1" s="3" t="s">
        <v>3</v>
      </c>
      <c r="F1" s="3" t="s">
        <v>4</v>
      </c>
      <c r="G1" s="3" t="s">
        <v>5</v>
      </c>
      <c r="H1" s="4">
        <v>2015</v>
      </c>
      <c r="I1" s="3" t="s">
        <v>6</v>
      </c>
      <c r="J1" s="3" t="s">
        <v>7</v>
      </c>
      <c r="K1" s="3" t="s">
        <v>8</v>
      </c>
      <c r="L1" s="3" t="s">
        <v>9</v>
      </c>
      <c r="M1" s="4">
        <v>2016</v>
      </c>
      <c r="N1" s="3" t="s">
        <v>10</v>
      </c>
      <c r="O1" s="3" t="s">
        <v>11</v>
      </c>
      <c r="P1" s="3" t="s">
        <v>12</v>
      </c>
      <c r="Q1" s="3" t="s">
        <v>13</v>
      </c>
      <c r="R1" s="4">
        <v>2017</v>
      </c>
      <c r="S1" s="3" t="s">
        <v>14</v>
      </c>
      <c r="T1" s="3" t="s">
        <v>15</v>
      </c>
      <c r="U1" s="3" t="s">
        <v>16</v>
      </c>
      <c r="V1" s="3" t="s">
        <v>17</v>
      </c>
      <c r="W1" s="4">
        <v>2018</v>
      </c>
      <c r="X1" s="3" t="s">
        <v>18</v>
      </c>
      <c r="Y1" s="3" t="s">
        <v>19</v>
      </c>
      <c r="Z1" s="3" t="s">
        <v>20</v>
      </c>
      <c r="AA1" s="3" t="s">
        <v>21</v>
      </c>
      <c r="AB1" s="4">
        <v>2019</v>
      </c>
      <c r="AC1" s="3" t="s">
        <v>22</v>
      </c>
      <c r="AD1" s="3" t="s">
        <v>23</v>
      </c>
      <c r="AE1" s="3" t="s">
        <v>24</v>
      </c>
      <c r="AF1" s="3" t="s">
        <v>25</v>
      </c>
      <c r="AG1" s="4">
        <v>2020</v>
      </c>
      <c r="AH1" s="3" t="s">
        <v>26</v>
      </c>
      <c r="AI1" s="3" t="s">
        <v>27</v>
      </c>
      <c r="AJ1" s="3" t="s">
        <v>28</v>
      </c>
      <c r="AK1" s="3" t="s">
        <v>29</v>
      </c>
      <c r="AL1" s="4">
        <v>2021</v>
      </c>
      <c r="AM1" s="3" t="s">
        <v>30</v>
      </c>
      <c r="AN1" s="3" t="s">
        <v>31</v>
      </c>
      <c r="AO1" s="3" t="s">
        <v>32</v>
      </c>
      <c r="AP1" s="3" t="s">
        <v>33</v>
      </c>
      <c r="AQ1" s="4">
        <v>2022</v>
      </c>
      <c r="AR1" s="3" t="s">
        <v>34</v>
      </c>
      <c r="AS1" s="3" t="s">
        <v>35</v>
      </c>
      <c r="AT1" s="3" t="s">
        <v>36</v>
      </c>
      <c r="AU1" s="3" t="s">
        <v>37</v>
      </c>
      <c r="AV1" s="4">
        <v>2023</v>
      </c>
      <c r="AW1" s="3" t="s">
        <v>38</v>
      </c>
      <c r="AX1" s="3" t="s">
        <v>39</v>
      </c>
      <c r="AY1" s="3" t="s">
        <v>40</v>
      </c>
      <c r="AZ1" s="3" t="s">
        <v>41</v>
      </c>
      <c r="BA1" s="4">
        <v>2024</v>
      </c>
      <c r="BB1" s="3" t="s">
        <v>42</v>
      </c>
      <c r="BC1" s="3" t="s">
        <v>383</v>
      </c>
      <c r="BD1" s="3" t="s">
        <v>384</v>
      </c>
      <c r="BE1" s="3" t="s">
        <v>385</v>
      </c>
      <c r="BF1" s="4">
        <v>2025</v>
      </c>
      <c r="BG1" s="3" t="s">
        <v>386</v>
      </c>
      <c r="BH1" s="3" t="s">
        <v>387</v>
      </c>
    </row>
    <row r="2" spans="1:63" ht="16" x14ac:dyDescent="0.4">
      <c r="A2" s="72" t="s">
        <v>84</v>
      </c>
      <c r="B2" s="72" t="s">
        <v>227</v>
      </c>
      <c r="C2" s="21"/>
      <c r="D2" s="55">
        <v>156.27500000000001</v>
      </c>
      <c r="E2" s="55">
        <v>156.92599999999999</v>
      </c>
      <c r="F2" s="55">
        <v>173.541</v>
      </c>
      <c r="G2" s="55">
        <v>177.17100000000005</v>
      </c>
      <c r="H2" s="159">
        <v>663.91300000000001</v>
      </c>
      <c r="I2" s="55">
        <v>150.16300000000001</v>
      </c>
      <c r="J2" s="55">
        <v>139.00200000000001</v>
      </c>
      <c r="K2" s="55">
        <v>140.488</v>
      </c>
      <c r="L2" s="55">
        <v>175.79599999999994</v>
      </c>
      <c r="M2" s="159">
        <v>605.44899999999996</v>
      </c>
      <c r="N2" s="55">
        <v>174.19900000000001</v>
      </c>
      <c r="O2" s="55">
        <v>167.57900000000001</v>
      </c>
      <c r="P2" s="55">
        <v>185.59899999999993</v>
      </c>
      <c r="Q2" s="55">
        <v>212.94500000000005</v>
      </c>
      <c r="R2" s="159">
        <v>740.322</v>
      </c>
      <c r="S2" s="55">
        <v>196.25299999999999</v>
      </c>
      <c r="T2" s="55">
        <v>204.096</v>
      </c>
      <c r="U2" s="55">
        <v>219.37700000000001</v>
      </c>
      <c r="V2" s="55">
        <v>212.25600000000003</v>
      </c>
      <c r="W2" s="159">
        <v>831.98199999999997</v>
      </c>
      <c r="X2" s="55">
        <v>195.57499999999999</v>
      </c>
      <c r="Y2" s="55">
        <v>190.59300000000002</v>
      </c>
      <c r="Z2" s="55">
        <v>200.92600000000004</v>
      </c>
      <c r="AA2" s="55">
        <v>148.25799999999992</v>
      </c>
      <c r="AB2" s="159">
        <v>735.35199999999998</v>
      </c>
      <c r="AC2" s="55">
        <v>183.52500000000001</v>
      </c>
      <c r="AD2" s="55">
        <v>178.43800000000002</v>
      </c>
      <c r="AE2" s="55">
        <v>164.89600000000002</v>
      </c>
      <c r="AF2" s="55">
        <v>180.84800000000001</v>
      </c>
      <c r="AG2" s="159">
        <v>707.70699999999999</v>
      </c>
      <c r="AH2" s="55">
        <v>167.04599999999999</v>
      </c>
      <c r="AI2" s="55">
        <v>205.38</v>
      </c>
      <c r="AJ2" s="55">
        <v>216.11500000000007</v>
      </c>
      <c r="AK2" s="55">
        <v>231.13399999999984</v>
      </c>
      <c r="AL2" s="159">
        <v>819.67499999999995</v>
      </c>
      <c r="AM2" s="55">
        <v>234.07599999999999</v>
      </c>
      <c r="AN2" s="55">
        <v>319.61</v>
      </c>
      <c r="AO2" s="55">
        <v>233.38499999999999</v>
      </c>
      <c r="AP2" s="55">
        <v>216.303</v>
      </c>
      <c r="AQ2" s="159">
        <v>1003.374</v>
      </c>
      <c r="AR2" s="55">
        <v>260.21300000000002</v>
      </c>
      <c r="AS2" s="55">
        <v>198.59999999999997</v>
      </c>
      <c r="AT2" s="55">
        <v>170.80899999999997</v>
      </c>
      <c r="AU2" s="55">
        <v>200</v>
      </c>
      <c r="AV2" s="159">
        <v>829.62199999999996</v>
      </c>
      <c r="AW2" s="55">
        <v>203.71299999999999</v>
      </c>
      <c r="AX2" s="55">
        <v>244.76200000000003</v>
      </c>
      <c r="AY2" s="55">
        <v>219.62699999999995</v>
      </c>
      <c r="AZ2" s="55">
        <v>208.06900000000007</v>
      </c>
      <c r="BA2" s="159">
        <v>876.17100000000005</v>
      </c>
      <c r="BB2" s="55">
        <v>186.88900000000001</v>
      </c>
      <c r="BC2" s="55">
        <v>192.27499999999998</v>
      </c>
      <c r="BD2" s="55">
        <v>180.92200000000003</v>
      </c>
      <c r="BE2" s="55">
        <v>187.166</v>
      </c>
      <c r="BF2" s="159">
        <v>747.25199999999995</v>
      </c>
      <c r="BG2" s="55">
        <v>153.81700000000001</v>
      </c>
      <c r="BH2" s="55">
        <v>200.994</v>
      </c>
      <c r="BK2" s="210"/>
    </row>
    <row r="3" spans="1:63" ht="16" x14ac:dyDescent="0.4">
      <c r="A3" s="9" t="s">
        <v>252</v>
      </c>
      <c r="B3" s="9" t="s">
        <v>253</v>
      </c>
      <c r="C3" s="5"/>
      <c r="D3" s="6">
        <v>0</v>
      </c>
      <c r="E3" s="6">
        <v>0</v>
      </c>
      <c r="F3" s="6">
        <v>0</v>
      </c>
      <c r="G3" s="6">
        <v>0</v>
      </c>
      <c r="H3" s="158">
        <v>0</v>
      </c>
      <c r="I3" s="6">
        <v>2.4</v>
      </c>
      <c r="J3" s="6">
        <v>1</v>
      </c>
      <c r="K3" s="6">
        <v>0.5</v>
      </c>
      <c r="L3" s="6">
        <v>-3</v>
      </c>
      <c r="M3" s="158">
        <v>0.89999999999999991</v>
      </c>
      <c r="N3" s="6">
        <v>-2.7690000000000001</v>
      </c>
      <c r="O3" s="6">
        <v>-0.40799999999999992</v>
      </c>
      <c r="P3" s="6">
        <v>1.3089999999999999</v>
      </c>
      <c r="Q3" s="6">
        <v>1.403</v>
      </c>
      <c r="R3" s="158">
        <v>-0.46500000000000008</v>
      </c>
      <c r="S3" s="6">
        <v>3.0419999999999998</v>
      </c>
      <c r="T3" s="6">
        <v>2.1180000000000003</v>
      </c>
      <c r="U3" s="6">
        <v>0.16999999999999993</v>
      </c>
      <c r="V3" s="6">
        <v>-1.5960000000000001</v>
      </c>
      <c r="W3" s="158">
        <v>3.734</v>
      </c>
      <c r="X3" s="6">
        <v>-5.8259999999999996</v>
      </c>
      <c r="Y3" s="6">
        <v>-8.8880000000000017</v>
      </c>
      <c r="Z3" s="6">
        <v>-8.7490000000000006</v>
      </c>
      <c r="AA3" s="6">
        <v>-6.5859999999999985</v>
      </c>
      <c r="AB3" s="158">
        <v>-30.048999999999999</v>
      </c>
      <c r="AC3" s="6">
        <v>-4.5140000000000002</v>
      </c>
      <c r="AD3" s="6">
        <v>-5.0040000000000004</v>
      </c>
      <c r="AE3" s="6">
        <v>-0.34399999999999942</v>
      </c>
      <c r="AF3" s="6">
        <v>0.51800000000000068</v>
      </c>
      <c r="AG3" s="158">
        <v>-9.3439999999999994</v>
      </c>
      <c r="AH3" s="6">
        <v>2.0579999999999998</v>
      </c>
      <c r="AI3" s="6">
        <v>-13.025</v>
      </c>
      <c r="AJ3" s="6">
        <v>-30.917999999999999</v>
      </c>
      <c r="AK3" s="6">
        <v>-46.280999999999985</v>
      </c>
      <c r="AL3" s="158">
        <v>-88.165999999999997</v>
      </c>
      <c r="AM3" s="6">
        <v>-3.6619999999999999</v>
      </c>
      <c r="AN3" s="6">
        <v>-7.6510000000000007</v>
      </c>
      <c r="AO3" s="6">
        <v>-5.2269999999999994</v>
      </c>
      <c r="AP3" s="6">
        <v>-3.8030000000000017</v>
      </c>
      <c r="AQ3" s="158">
        <v>-20.343</v>
      </c>
      <c r="AR3" s="6">
        <v>-0.878</v>
      </c>
      <c r="AS3" s="6">
        <v>0.14800000000000002</v>
      </c>
      <c r="AT3" s="6">
        <v>0.24399999999999999</v>
      </c>
      <c r="AU3" s="6">
        <v>0.10799999999999998</v>
      </c>
      <c r="AV3" s="158">
        <v>-0.378</v>
      </c>
      <c r="AW3" s="6">
        <v>3.0000000000000001E-3</v>
      </c>
      <c r="AX3" s="6">
        <v>0.29699999999999999</v>
      </c>
      <c r="AY3" s="6">
        <v>0.191</v>
      </c>
      <c r="AZ3" s="6">
        <v>-3.8980000000000001</v>
      </c>
      <c r="BA3" s="158">
        <v>-3.407</v>
      </c>
      <c r="BB3" s="6">
        <v>-2.7919999999999998</v>
      </c>
      <c r="BC3" s="6">
        <v>4.2649999999999997</v>
      </c>
      <c r="BD3" s="6">
        <v>5.2990000000000004</v>
      </c>
      <c r="BE3" s="6">
        <v>4.556</v>
      </c>
      <c r="BF3" s="158">
        <v>11.327999999999999</v>
      </c>
      <c r="BG3" s="6">
        <v>3.3370000000000002</v>
      </c>
      <c r="BH3" s="6">
        <v>-2.62</v>
      </c>
      <c r="BK3" s="210"/>
    </row>
    <row r="4" spans="1:63" ht="16" x14ac:dyDescent="0.4">
      <c r="A4" s="5" t="s">
        <v>77</v>
      </c>
      <c r="B4" s="5" t="s">
        <v>83</v>
      </c>
      <c r="C4" s="5"/>
      <c r="D4" s="6">
        <f t="shared" ref="D4:M4" si="0">D8-(D2+D3+D5+D6+D7)</f>
        <v>4.6960000000000051</v>
      </c>
      <c r="E4" s="6">
        <f t="shared" si="0"/>
        <v>3.530113277941112</v>
      </c>
      <c r="F4" s="6">
        <f t="shared" si="0"/>
        <v>4.0928716149562376</v>
      </c>
      <c r="G4" s="6">
        <f t="shared" si="0"/>
        <v>4.1810487819002375</v>
      </c>
      <c r="H4" s="7">
        <f t="shared" si="0"/>
        <v>16.500033674797635</v>
      </c>
      <c r="I4" s="6">
        <f t="shared" si="0"/>
        <v>3.5429999999999851</v>
      </c>
      <c r="J4" s="6">
        <f t="shared" si="0"/>
        <v>4.4039999999999893</v>
      </c>
      <c r="K4" s="6">
        <f t="shared" si="0"/>
        <v>2.2100000000000009</v>
      </c>
      <c r="L4" s="6">
        <f t="shared" si="0"/>
        <v>4.1020000000000394</v>
      </c>
      <c r="M4" s="7">
        <f t="shared" si="0"/>
        <v>14.259</v>
      </c>
      <c r="N4" s="6">
        <v>4.7119999999999891</v>
      </c>
      <c r="O4" s="6">
        <v>3.1909999999999883</v>
      </c>
      <c r="P4" s="6">
        <v>1.687000000000026</v>
      </c>
      <c r="Q4" s="6">
        <v>2.4979999999999762</v>
      </c>
      <c r="R4" s="7">
        <v>12.088000000000022</v>
      </c>
      <c r="S4" s="6">
        <v>3.7890000000000086</v>
      </c>
      <c r="T4" s="6">
        <v>4.8799999999999955</v>
      </c>
      <c r="U4" s="6">
        <v>6.6629999999999967</v>
      </c>
      <c r="V4" s="6">
        <v>-3.8789999999999623</v>
      </c>
      <c r="W4" s="7">
        <v>11.452999999999975</v>
      </c>
      <c r="X4" s="6">
        <v>3.102000000000011</v>
      </c>
      <c r="Y4" s="6">
        <v>4.0039999999999552</v>
      </c>
      <c r="Z4" s="6">
        <v>5.4742789999999673</v>
      </c>
      <c r="AA4" s="6">
        <v>6.5807210000000964</v>
      </c>
      <c r="AB4" s="7">
        <v>19.161000000000016</v>
      </c>
      <c r="AC4" s="6">
        <v>0.24000000000000199</v>
      </c>
      <c r="AD4" s="6">
        <v>4.3439999999999372</v>
      </c>
      <c r="AE4" s="6">
        <v>2.8799999999999599</v>
      </c>
      <c r="AF4" s="6">
        <v>9.9940000000001703</v>
      </c>
      <c r="AG4" s="7">
        <v>17.458000000000069</v>
      </c>
      <c r="AH4" s="6">
        <v>5.0990000000000215</v>
      </c>
      <c r="AI4" s="6">
        <v>6.216999999999981</v>
      </c>
      <c r="AJ4" s="6">
        <v>2.6559999999999349</v>
      </c>
      <c r="AK4" s="6">
        <v>18.665000000000035</v>
      </c>
      <c r="AL4" s="7">
        <v>32.636999999999972</v>
      </c>
      <c r="AM4" s="6">
        <v>4.9930000000000234</v>
      </c>
      <c r="AN4" s="6">
        <v>6.4070000000000533</v>
      </c>
      <c r="AO4" s="6">
        <v>9.6969999999998748</v>
      </c>
      <c r="AP4" s="6">
        <v>2.5089999999999861</v>
      </c>
      <c r="AQ4" s="7">
        <v>23.605999999999938</v>
      </c>
      <c r="AR4" s="6">
        <v>5.8249999999999602</v>
      </c>
      <c r="AS4" s="6">
        <v>11.653000000000063</v>
      </c>
      <c r="AT4" s="6">
        <v>7.6379999999999981</v>
      </c>
      <c r="AU4" s="6">
        <v>7.7259999999999494</v>
      </c>
      <c r="AV4" s="7">
        <v>32.84199999999997</v>
      </c>
      <c r="AW4" s="6">
        <v>5.048</v>
      </c>
      <c r="AX4" s="6">
        <v>7.8099999999999614</v>
      </c>
      <c r="AY4" s="6">
        <v>5.6050000000000608</v>
      </c>
      <c r="AZ4" s="6">
        <v>7.3089999999999389</v>
      </c>
      <c r="BA4" s="7">
        <v>25.771999999999963</v>
      </c>
      <c r="BB4" s="6">
        <v>39.781999999999989</v>
      </c>
      <c r="BC4" s="6">
        <v>17.126000000000005</v>
      </c>
      <c r="BD4" s="6">
        <v>14.132000000000012</v>
      </c>
      <c r="BE4" s="6">
        <v>12.089999999999986</v>
      </c>
      <c r="BF4" s="158">
        <v>83.13</v>
      </c>
      <c r="BG4" s="6">
        <v>11.828000000000005</v>
      </c>
      <c r="BH4" s="6">
        <v>8.3960000000000115</v>
      </c>
      <c r="BK4" s="210"/>
    </row>
    <row r="5" spans="1:63" ht="16" x14ac:dyDescent="0.4">
      <c r="A5" s="9" t="s">
        <v>254</v>
      </c>
      <c r="B5" s="9" t="s">
        <v>255</v>
      </c>
      <c r="C5" s="9"/>
      <c r="D5" s="6">
        <v>-69.338000000000008</v>
      </c>
      <c r="E5" s="6">
        <v>-65.082999999999998</v>
      </c>
      <c r="F5" s="6">
        <v>-65.545999999999964</v>
      </c>
      <c r="G5" s="6">
        <v>-68.216000000000008</v>
      </c>
      <c r="H5" s="7">
        <v>-268.18299999999999</v>
      </c>
      <c r="I5" s="6">
        <v>-67.620999999999995</v>
      </c>
      <c r="J5" s="6">
        <v>-67.238</v>
      </c>
      <c r="K5" s="6">
        <v>-58.353999999999999</v>
      </c>
      <c r="L5" s="6">
        <v>-73.930999999999983</v>
      </c>
      <c r="M5" s="7">
        <v>-267.14399999999995</v>
      </c>
      <c r="N5" s="6">
        <v>-75.667000000000002</v>
      </c>
      <c r="O5" s="6">
        <v>-68.269000000000005</v>
      </c>
      <c r="P5" s="6">
        <v>-68.456999999999994</v>
      </c>
      <c r="Q5" s="6">
        <v>-78.341999999999985</v>
      </c>
      <c r="R5" s="7">
        <v>-290.73500000000001</v>
      </c>
      <c r="S5" s="6">
        <v>-74.251000000000005</v>
      </c>
      <c r="T5" s="6">
        <v>-74.350999999999985</v>
      </c>
      <c r="U5" s="6">
        <v>-71.245000000000019</v>
      </c>
      <c r="V5" s="6">
        <v>-73.064000000000007</v>
      </c>
      <c r="W5" s="7">
        <v>-292.911</v>
      </c>
      <c r="X5" s="6">
        <v>-72.406999999999996</v>
      </c>
      <c r="Y5" s="6">
        <v>-73.12299999999999</v>
      </c>
      <c r="Z5" s="6">
        <v>-85.320999999999998</v>
      </c>
      <c r="AA5" s="6">
        <v>-73.655000000000001</v>
      </c>
      <c r="AB5" s="7">
        <v>-304.50599999999997</v>
      </c>
      <c r="AC5" s="6">
        <v>-91.644000000000005</v>
      </c>
      <c r="AD5" s="6">
        <v>-82.938999999999993</v>
      </c>
      <c r="AE5" s="6">
        <v>-79.168000000000006</v>
      </c>
      <c r="AF5" s="6">
        <v>-88.914999999999992</v>
      </c>
      <c r="AG5" s="7">
        <v>-342.666</v>
      </c>
      <c r="AH5" s="6">
        <v>-88.113</v>
      </c>
      <c r="AI5" s="6">
        <v>-81.711999999999989</v>
      </c>
      <c r="AJ5" s="6">
        <v>-86.227000000000032</v>
      </c>
      <c r="AK5" s="6">
        <v>-100.80099999999999</v>
      </c>
      <c r="AL5" s="7">
        <v>-356.85300000000001</v>
      </c>
      <c r="AM5" s="6">
        <v>-100.985</v>
      </c>
      <c r="AN5" s="6">
        <v>-131.49900000000002</v>
      </c>
      <c r="AO5" s="6">
        <v>-90.363999999999976</v>
      </c>
      <c r="AP5" s="6">
        <v>-73.841000000000008</v>
      </c>
      <c r="AQ5" s="7">
        <v>-396.68900000000002</v>
      </c>
      <c r="AR5" s="6">
        <v>-118.292</v>
      </c>
      <c r="AS5" s="6">
        <v>-106.29900000000001</v>
      </c>
      <c r="AT5" s="6">
        <v>-106.34199999999998</v>
      </c>
      <c r="AU5" s="6">
        <v>-106.61099999999996</v>
      </c>
      <c r="AV5" s="7">
        <v>-437.54399999999998</v>
      </c>
      <c r="AW5" s="6">
        <v>-99.585999999999999</v>
      </c>
      <c r="AX5" s="6">
        <v>-109.25099999999999</v>
      </c>
      <c r="AY5" s="6">
        <v>-97.262</v>
      </c>
      <c r="AZ5" s="6">
        <v>-102.02600000000001</v>
      </c>
      <c r="BA5" s="7">
        <v>-408.125</v>
      </c>
      <c r="BB5" s="6">
        <v>-100.35899999999999</v>
      </c>
      <c r="BC5" s="6">
        <v>-104.616</v>
      </c>
      <c r="BD5" s="6">
        <v>-109.60100000000003</v>
      </c>
      <c r="BE5" s="6">
        <v>-99.712999999999994</v>
      </c>
      <c r="BF5" s="158">
        <v>-414.28899999999999</v>
      </c>
      <c r="BG5" s="6">
        <v>-89.849000000000004</v>
      </c>
      <c r="BH5" s="6">
        <v>-103.17100000000001</v>
      </c>
      <c r="BK5" s="210"/>
    </row>
    <row r="6" spans="1:63" ht="16" x14ac:dyDescent="0.4">
      <c r="A6" s="9" t="s">
        <v>256</v>
      </c>
      <c r="B6" s="9" t="s">
        <v>257</v>
      </c>
      <c r="C6" s="9"/>
      <c r="D6" s="6">
        <v>-16.812000000000001</v>
      </c>
      <c r="E6" s="6">
        <v>-13.243</v>
      </c>
      <c r="F6" s="6">
        <v>-15.965999999999999</v>
      </c>
      <c r="G6" s="6">
        <v>-16.504999999999999</v>
      </c>
      <c r="H6" s="7">
        <v>-62.526000000000003</v>
      </c>
      <c r="I6" s="6">
        <v>-17.471</v>
      </c>
      <c r="J6" s="6">
        <v>-17.555</v>
      </c>
      <c r="K6" s="6">
        <v>-16.446999999999999</v>
      </c>
      <c r="L6" s="6">
        <v>-16.954999999999998</v>
      </c>
      <c r="M6" s="7">
        <v>-68.427999999999997</v>
      </c>
      <c r="N6" s="6">
        <v>-15.802999999999999</v>
      </c>
      <c r="O6" s="6">
        <v>-18.039000000000001</v>
      </c>
      <c r="P6" s="6">
        <v>-18.914999999999999</v>
      </c>
      <c r="Q6" s="6">
        <v>-21.609000000000002</v>
      </c>
      <c r="R6" s="7">
        <v>-74.366</v>
      </c>
      <c r="S6" s="6">
        <v>-17.867999999999999</v>
      </c>
      <c r="T6" s="6">
        <v>-19.112000000000002</v>
      </c>
      <c r="U6" s="6">
        <v>-21.286999999999992</v>
      </c>
      <c r="V6" s="6">
        <v>-19.405000000000008</v>
      </c>
      <c r="W6" s="7">
        <v>-77.671999999999997</v>
      </c>
      <c r="X6" s="6">
        <v>-22.748000000000001</v>
      </c>
      <c r="Y6" s="6">
        <v>-23.123999999999999</v>
      </c>
      <c r="Z6" s="6">
        <v>-25.353999999999999</v>
      </c>
      <c r="AA6" s="6">
        <v>-21.027999999999992</v>
      </c>
      <c r="AB6" s="7">
        <v>-92.253999999999991</v>
      </c>
      <c r="AC6" s="6">
        <v>-21.919</v>
      </c>
      <c r="AD6" s="6">
        <v>-23.554999999999996</v>
      </c>
      <c r="AE6" s="6">
        <v>-21.616000000000007</v>
      </c>
      <c r="AF6" s="6">
        <v>-25.285000000000004</v>
      </c>
      <c r="AG6" s="7">
        <v>-92.375</v>
      </c>
      <c r="AH6" s="6">
        <v>-18.738</v>
      </c>
      <c r="AI6" s="6">
        <v>-21.841000000000001</v>
      </c>
      <c r="AJ6" s="6">
        <v>-21.642000000000003</v>
      </c>
      <c r="AK6" s="6">
        <v>-21.950999999999993</v>
      </c>
      <c r="AL6" s="7">
        <v>-84.171999999999997</v>
      </c>
      <c r="AM6" s="6">
        <v>-22.464000000000002</v>
      </c>
      <c r="AN6" s="6">
        <v>-22.831692</v>
      </c>
      <c r="AO6" s="6">
        <v>-22.569307999999996</v>
      </c>
      <c r="AP6" s="6">
        <v>-25.326000000000004</v>
      </c>
      <c r="AQ6" s="7">
        <v>-93.191000000000003</v>
      </c>
      <c r="AR6" s="6">
        <v>-26.721</v>
      </c>
      <c r="AS6" s="6">
        <v>-26.604000000000003</v>
      </c>
      <c r="AT6" s="6">
        <v>-27.054999999999989</v>
      </c>
      <c r="AU6" s="6">
        <v>-23.593000000000007</v>
      </c>
      <c r="AV6" s="7">
        <v>-103.973</v>
      </c>
      <c r="AW6" s="6">
        <v>-27.085000000000001</v>
      </c>
      <c r="AX6" s="6">
        <v>-30.123999999999995</v>
      </c>
      <c r="AY6" s="6">
        <v>-29.101000000000006</v>
      </c>
      <c r="AZ6" s="6">
        <v>-26.786999999999999</v>
      </c>
      <c r="BA6" s="7">
        <v>-113.09699999999999</v>
      </c>
      <c r="BB6" s="6">
        <v>-28.158000000000001</v>
      </c>
      <c r="BC6" s="6">
        <v>-30.210999999999999</v>
      </c>
      <c r="BD6" s="6">
        <v>-27.040000000000003</v>
      </c>
      <c r="BE6" s="6">
        <v>-28.17</v>
      </c>
      <c r="BF6" s="158">
        <v>-113.57900000000001</v>
      </c>
      <c r="BG6" s="6">
        <v>-27.274999999999999</v>
      </c>
      <c r="BH6" s="6">
        <v>-28.666</v>
      </c>
      <c r="BK6" s="210"/>
    </row>
    <row r="7" spans="1:63" ht="16" x14ac:dyDescent="0.4">
      <c r="A7" s="9" t="s">
        <v>258</v>
      </c>
      <c r="B7" s="9" t="s">
        <v>259</v>
      </c>
      <c r="C7" s="9"/>
      <c r="D7" s="6">
        <v>-40.380000000000003</v>
      </c>
      <c r="E7" s="6">
        <v>-39.295999999999999</v>
      </c>
      <c r="F7" s="6">
        <v>-43.651000000000003</v>
      </c>
      <c r="G7" s="6">
        <v>-34.591999999999999</v>
      </c>
      <c r="H7" s="7">
        <v>-157.91899999999998</v>
      </c>
      <c r="I7" s="6">
        <v>-37.646000000000001</v>
      </c>
      <c r="J7" s="6">
        <v>-39.774999999999999</v>
      </c>
      <c r="K7" s="6">
        <v>-38.201000000000001</v>
      </c>
      <c r="L7" s="6">
        <v>-43.845999999999997</v>
      </c>
      <c r="M7" s="7">
        <v>-159.46799999999999</v>
      </c>
      <c r="N7" s="6">
        <v>-43.872999999999998</v>
      </c>
      <c r="O7" s="6">
        <v>-36.952999999999996</v>
      </c>
      <c r="P7" s="6">
        <v>-41.452999999999989</v>
      </c>
      <c r="Q7" s="6">
        <v>-48.540000000000006</v>
      </c>
      <c r="R7" s="7">
        <v>-170.81899999999999</v>
      </c>
      <c r="S7" s="6">
        <v>-46.091000000000001</v>
      </c>
      <c r="T7" s="6">
        <v>-47.754999999999995</v>
      </c>
      <c r="U7" s="6">
        <v>-54.825999999999965</v>
      </c>
      <c r="V7" s="6">
        <v>-37.037000000000035</v>
      </c>
      <c r="W7" s="7">
        <v>-185.709</v>
      </c>
      <c r="X7" s="6">
        <v>-45.698000000000008</v>
      </c>
      <c r="Y7" s="6">
        <v>-49.162999999999982</v>
      </c>
      <c r="Z7" s="6">
        <v>-52.756279000000035</v>
      </c>
      <c r="AA7" s="6">
        <v>-53.082720999999992</v>
      </c>
      <c r="AB7" s="7">
        <v>-200.70000000000002</v>
      </c>
      <c r="AC7" s="6">
        <v>-48.915999999999997</v>
      </c>
      <c r="AD7" s="6">
        <v>-52.326000000000008</v>
      </c>
      <c r="AE7" s="6">
        <v>-52.928999999999988</v>
      </c>
      <c r="AF7" s="6">
        <v>-53.000000000000028</v>
      </c>
      <c r="AG7" s="7">
        <v>-207.17100000000002</v>
      </c>
      <c r="AH7" s="6">
        <v>-50.592000000000006</v>
      </c>
      <c r="AI7" s="6">
        <v>-52.841000000000001</v>
      </c>
      <c r="AJ7" s="6">
        <v>-53.121999999999964</v>
      </c>
      <c r="AK7" s="6">
        <v>-59.733000000000025</v>
      </c>
      <c r="AL7" s="7">
        <v>-216.28800000000001</v>
      </c>
      <c r="AM7" s="6">
        <v>-65.497</v>
      </c>
      <c r="AN7" s="6">
        <v>-62.119000000000007</v>
      </c>
      <c r="AO7" s="6">
        <v>-65.795999999999992</v>
      </c>
      <c r="AP7" s="6">
        <v>-75.768000000000001</v>
      </c>
      <c r="AQ7" s="7">
        <v>-269.18</v>
      </c>
      <c r="AR7" s="6">
        <v>-67.088999999999999</v>
      </c>
      <c r="AS7" s="6">
        <v>-65.134999999999991</v>
      </c>
      <c r="AT7" s="6">
        <v>-47.050000000000011</v>
      </c>
      <c r="AU7" s="6">
        <v>-52.467999999999989</v>
      </c>
      <c r="AV7" s="7">
        <v>-231.74199999999999</v>
      </c>
      <c r="AW7" s="6">
        <v>-46.707000000000001</v>
      </c>
      <c r="AX7" s="6">
        <v>-47.966000000000001</v>
      </c>
      <c r="AY7" s="6">
        <v>-47.509999999999991</v>
      </c>
      <c r="AZ7" s="6">
        <v>-70.65100000000001</v>
      </c>
      <c r="BA7" s="7">
        <v>-212.834</v>
      </c>
      <c r="BB7" s="6">
        <v>-60.863</v>
      </c>
      <c r="BC7" s="6">
        <v>-55.292000000000002</v>
      </c>
      <c r="BD7" s="6">
        <v>-51.042999999999985</v>
      </c>
      <c r="BE7" s="6">
        <v>-63.173999999999999</v>
      </c>
      <c r="BF7" s="158">
        <v>-230.37199999999999</v>
      </c>
      <c r="BG7" s="6">
        <v>-50.707999999999998</v>
      </c>
      <c r="BH7" s="6">
        <v>-47.705000000000005</v>
      </c>
      <c r="BK7" s="210"/>
    </row>
    <row r="8" spans="1:63" ht="16" x14ac:dyDescent="0.4">
      <c r="A8" s="58" t="s">
        <v>87</v>
      </c>
      <c r="B8" s="58" t="s">
        <v>87</v>
      </c>
      <c r="C8" s="21"/>
      <c r="D8" s="59">
        <v>34.441000000000003</v>
      </c>
      <c r="E8" s="59">
        <v>42.834113277941107</v>
      </c>
      <c r="F8" s="59">
        <v>52.470871614956273</v>
      </c>
      <c r="G8" s="59">
        <v>62.039048781900284</v>
      </c>
      <c r="H8" s="111">
        <v>191.78503367479766</v>
      </c>
      <c r="I8" s="59">
        <v>33.368000000000002</v>
      </c>
      <c r="J8" s="59">
        <v>19.838000000000001</v>
      </c>
      <c r="K8" s="59">
        <v>30.195999999999998</v>
      </c>
      <c r="L8" s="59">
        <v>42.165999999999997</v>
      </c>
      <c r="M8" s="111">
        <v>125.568</v>
      </c>
      <c r="N8" s="59">
        <v>40.798999999999999</v>
      </c>
      <c r="O8" s="59">
        <v>47.101000000000006</v>
      </c>
      <c r="P8" s="59">
        <v>59.769999999999982</v>
      </c>
      <c r="Q8" s="59">
        <v>68.355000000000018</v>
      </c>
      <c r="R8" s="111">
        <v>216.02500000000001</v>
      </c>
      <c r="S8" s="59">
        <v>64.873999999999995</v>
      </c>
      <c r="T8" s="59">
        <v>69.876000000000005</v>
      </c>
      <c r="U8" s="59">
        <v>78.852000000000004</v>
      </c>
      <c r="V8" s="59">
        <v>77.275000000000006</v>
      </c>
      <c r="W8" s="111">
        <v>290.87700000000001</v>
      </c>
      <c r="X8" s="59">
        <v>51.997999999999998</v>
      </c>
      <c r="Y8" s="59">
        <v>40.298999999999999</v>
      </c>
      <c r="Z8" s="59">
        <v>34.219999999999985</v>
      </c>
      <c r="AA8" s="59">
        <v>0.48700000000002319</v>
      </c>
      <c r="AB8" s="111">
        <v>127.004</v>
      </c>
      <c r="AC8" s="59">
        <v>16.771999999999998</v>
      </c>
      <c r="AD8" s="59">
        <v>18.957999999999998</v>
      </c>
      <c r="AE8" s="59">
        <v>13.719000000000001</v>
      </c>
      <c r="AF8" s="59">
        <v>24.159999999999997</v>
      </c>
      <c r="AG8" s="111">
        <v>73.608999999999995</v>
      </c>
      <c r="AH8" s="59">
        <v>16.760000000000002</v>
      </c>
      <c r="AI8" s="59">
        <v>42.177999999999997</v>
      </c>
      <c r="AJ8" s="59">
        <v>26.861999999999995</v>
      </c>
      <c r="AK8" s="59">
        <v>21.033000000000001</v>
      </c>
      <c r="AL8" s="111">
        <v>106.833</v>
      </c>
      <c r="AM8" s="59">
        <v>46.460999999999999</v>
      </c>
      <c r="AN8" s="59">
        <v>101.91630800000003</v>
      </c>
      <c r="AO8" s="59">
        <v>59.125691999999958</v>
      </c>
      <c r="AP8" s="59">
        <v>40.073999999999998</v>
      </c>
      <c r="AQ8" s="111">
        <v>247.577</v>
      </c>
      <c r="AR8" s="59">
        <v>53.057999999999993</v>
      </c>
      <c r="AS8" s="59">
        <v>12.363000000000014</v>
      </c>
      <c r="AT8" s="59">
        <v>-1.7560000000000073</v>
      </c>
      <c r="AU8" s="59">
        <v>25.161999999999992</v>
      </c>
      <c r="AV8" s="111">
        <v>88.826999999999913</v>
      </c>
      <c r="AW8" s="59">
        <v>35.386000000000003</v>
      </c>
      <c r="AX8" s="59">
        <v>65.527999999999992</v>
      </c>
      <c r="AY8" s="59">
        <v>51.55</v>
      </c>
      <c r="AZ8" s="59">
        <v>12.016000000000005</v>
      </c>
      <c r="BA8" s="111">
        <v>164.48</v>
      </c>
      <c r="BB8" s="59">
        <v>34.499000000000002</v>
      </c>
      <c r="BC8" s="59">
        <v>23.546999999999969</v>
      </c>
      <c r="BD8" s="59">
        <v>12.669000000000025</v>
      </c>
      <c r="BE8" s="59">
        <v>12.754999999999999</v>
      </c>
      <c r="BF8" s="167">
        <v>83.468999999999994</v>
      </c>
      <c r="BG8" s="59">
        <v>1.1499999999999999</v>
      </c>
      <c r="BH8" s="59">
        <v>27.227999999999998</v>
      </c>
      <c r="BK8" s="210"/>
    </row>
    <row r="9" spans="1:63" ht="16" x14ac:dyDescent="0.4">
      <c r="A9" s="61" t="s">
        <v>88</v>
      </c>
      <c r="B9" s="61" t="s">
        <v>89</v>
      </c>
      <c r="C9" s="62"/>
      <c r="D9" s="63">
        <v>0.22038713805791074</v>
      </c>
      <c r="E9" s="63">
        <v>0.27295740207448804</v>
      </c>
      <c r="F9" s="63">
        <v>0.3023543232720583</v>
      </c>
      <c r="G9" s="63">
        <v>0.35016480565047475</v>
      </c>
      <c r="H9" s="112">
        <v>0.28887073106686817</v>
      </c>
      <c r="I9" s="63">
        <v>0.22221186310875515</v>
      </c>
      <c r="J9" s="63">
        <v>0.14271737097307952</v>
      </c>
      <c r="K9" s="63">
        <v>0.21493650703262912</v>
      </c>
      <c r="L9" s="63">
        <v>0.23985756217433851</v>
      </c>
      <c r="M9" s="112">
        <v>0.20739649417209377</v>
      </c>
      <c r="N9" s="63">
        <v>0.2342091516024776</v>
      </c>
      <c r="O9" s="63">
        <v>0.28106743685067942</v>
      </c>
      <c r="P9" s="63">
        <v>0.32203837305157895</v>
      </c>
      <c r="Q9" s="63">
        <v>0.32099837986334501</v>
      </c>
      <c r="R9" s="112">
        <v>0.29179870380726225</v>
      </c>
      <c r="S9" s="63">
        <v>0.32037217265468559</v>
      </c>
      <c r="T9" s="63">
        <v>0.33256898714330529</v>
      </c>
      <c r="U9" s="63">
        <v>0.33800717486336296</v>
      </c>
      <c r="V9" s="63">
        <v>-0.641328991935189</v>
      </c>
      <c r="W9" s="112">
        <v>0.34961934272616479</v>
      </c>
      <c r="X9" s="63">
        <v>0.26587242745749712</v>
      </c>
      <c r="Y9" s="63">
        <v>0.21144008436826114</v>
      </c>
      <c r="Z9" s="63">
        <v>0.1703114579496928</v>
      </c>
      <c r="AA9" s="63">
        <v>3.2848143101891531E-3</v>
      </c>
      <c r="AB9" s="112">
        <v>0.17271184412363061</v>
      </c>
      <c r="AC9" s="63">
        <v>9.1388094265086484E-2</v>
      </c>
      <c r="AD9" s="63">
        <v>0.10624418565552178</v>
      </c>
      <c r="AE9" s="63">
        <v>-0.10377604893660687</v>
      </c>
      <c r="AF9" s="63">
        <v>1.0154327057674037E-2</v>
      </c>
      <c r="AG9" s="112">
        <v>0.10401055804167543</v>
      </c>
      <c r="AH9" s="63">
        <v>0.10033164517558039</v>
      </c>
      <c r="AI9" s="63">
        <v>0.20536566364787223</v>
      </c>
      <c r="AJ9" s="63">
        <v>-0.15991307289086681</v>
      </c>
      <c r="AK9" s="63">
        <v>-1.5448432107899202E-2</v>
      </c>
      <c r="AL9" s="112">
        <v>0.13033580382468662</v>
      </c>
      <c r="AM9" s="63">
        <v>0.19848681624771441</v>
      </c>
      <c r="AN9" s="63">
        <v>0.31887709395826169</v>
      </c>
      <c r="AO9" s="63">
        <v>0.25333972620348333</v>
      </c>
      <c r="AP9" s="63">
        <v>-0.52395915229884871</v>
      </c>
      <c r="AQ9" s="112">
        <f>AQ8/AQ2</f>
        <v>0.24674448411061078</v>
      </c>
      <c r="AR9" s="63">
        <f>AR8/AR2</f>
        <v>0.20390218782305261</v>
      </c>
      <c r="AS9" s="63">
        <f>AS8/AS2</f>
        <v>6.2250755287009144E-2</v>
      </c>
      <c r="AT9" s="63">
        <f>AT8/AT2</f>
        <v>-1.0280488733029334E-2</v>
      </c>
      <c r="AU9" s="63">
        <v>0.12784647847276606</v>
      </c>
      <c r="AV9" s="112">
        <v>0.10706924358322215</v>
      </c>
      <c r="AW9" s="63">
        <f>AW8/AW2</f>
        <v>0.17370516363707766</v>
      </c>
      <c r="AX9" s="63">
        <f>AX8/AX2</f>
        <v>0.26772129660649929</v>
      </c>
      <c r="AY9" s="63">
        <f>AY8/AY2</f>
        <v>0.23471613235166899</v>
      </c>
      <c r="AZ9" s="63">
        <f t="shared" ref="AZ9:BB9" si="1">AZ8/AZ2</f>
        <v>5.7750073292994156E-2</v>
      </c>
      <c r="BA9" s="112">
        <f t="shared" si="1"/>
        <v>0.1877259119509776</v>
      </c>
      <c r="BB9" s="63">
        <f t="shared" si="1"/>
        <v>0.18459620416396899</v>
      </c>
      <c r="BC9" s="63">
        <v>0.12246521908724468</v>
      </c>
      <c r="BD9" s="63">
        <v>7.0024651507279517E-2</v>
      </c>
      <c r="BE9" s="63">
        <v>6.8148061079469552E-2</v>
      </c>
      <c r="BF9" s="168">
        <v>0.11170127346597934</v>
      </c>
      <c r="BG9" s="63">
        <v>7.4764167809799947E-3</v>
      </c>
      <c r="BH9" s="63">
        <v>0.13546673035015969</v>
      </c>
      <c r="BK9" s="210"/>
    </row>
    <row r="10" spans="1:63" ht="16" x14ac:dyDescent="0.4">
      <c r="A10" s="17" t="s">
        <v>90</v>
      </c>
      <c r="B10" s="17" t="s">
        <v>91</v>
      </c>
      <c r="C10" s="17"/>
      <c r="D10" s="70">
        <v>-13.959999999999999</v>
      </c>
      <c r="E10" s="70">
        <v>-13.279</v>
      </c>
      <c r="F10" s="70">
        <v>-15.7</v>
      </c>
      <c r="G10" s="70">
        <v>-16.043999999999997</v>
      </c>
      <c r="H10" s="123">
        <v>-58.982999999999997</v>
      </c>
      <c r="I10" s="70">
        <v>-13.513</v>
      </c>
      <c r="J10" s="70">
        <v>-12.357999999999999</v>
      </c>
      <c r="K10" s="70">
        <v>-28.278000000000006</v>
      </c>
      <c r="L10" s="70">
        <v>-15.578999999999994</v>
      </c>
      <c r="M10" s="123">
        <v>-69.727999999999994</v>
      </c>
      <c r="N10" s="70">
        <v>-16.315999999999999</v>
      </c>
      <c r="O10" s="70">
        <v>-16.300999999999998</v>
      </c>
      <c r="P10" s="70">
        <v>-17.691000000000003</v>
      </c>
      <c r="Q10" s="70">
        <v>-20.104000000000006</v>
      </c>
      <c r="R10" s="123">
        <v>-70.412000000000006</v>
      </c>
      <c r="S10" s="70">
        <v>-17.314</v>
      </c>
      <c r="T10" s="70">
        <v>-17.011000000000003</v>
      </c>
      <c r="U10" s="70">
        <v>-17.613</v>
      </c>
      <c r="V10" s="70">
        <v>-17.890999999999991</v>
      </c>
      <c r="W10" s="123">
        <v>-69.828999999999994</v>
      </c>
      <c r="X10" s="70">
        <v>-20.225000000000001</v>
      </c>
      <c r="Y10" s="70">
        <v>-20.021000000000001</v>
      </c>
      <c r="Z10" s="70">
        <v>-22.693999999999996</v>
      </c>
      <c r="AA10" s="70">
        <v>-20.045000000000002</v>
      </c>
      <c r="AB10" s="123">
        <v>-82.984999999999999</v>
      </c>
      <c r="AC10" s="70">
        <v>-22.931999999999999</v>
      </c>
      <c r="AD10" s="70">
        <v>-24.663</v>
      </c>
      <c r="AE10" s="70">
        <v>-24.658000000000001</v>
      </c>
      <c r="AF10" s="70">
        <v>-24.826999999999998</v>
      </c>
      <c r="AG10" s="123">
        <v>-97.08</v>
      </c>
      <c r="AH10" s="70">
        <v>-22.16</v>
      </c>
      <c r="AI10" s="70">
        <v>-22.110000000000003</v>
      </c>
      <c r="AJ10" s="70">
        <v>-19.312999999999999</v>
      </c>
      <c r="AK10" s="70">
        <v>-18.314000000000011</v>
      </c>
      <c r="AL10" s="123">
        <v>-81.897000000000006</v>
      </c>
      <c r="AM10" s="70">
        <v>-19.285</v>
      </c>
      <c r="AN10" s="70">
        <v>-20.620999999999999</v>
      </c>
      <c r="AO10" s="70">
        <v>-26.537000000000003</v>
      </c>
      <c r="AP10" s="70">
        <v>-24.92700000000001</v>
      </c>
      <c r="AQ10" s="123">
        <v>-91.37</v>
      </c>
      <c r="AR10" s="70">
        <v>-21.652000000000001</v>
      </c>
      <c r="AS10" s="70">
        <v>-21.298000000000002</v>
      </c>
      <c r="AT10" s="70">
        <v>-24.858999999999995</v>
      </c>
      <c r="AU10" s="70">
        <v>-25.278999999999996</v>
      </c>
      <c r="AV10" s="123">
        <v>-93.087999999999994</v>
      </c>
      <c r="AW10" s="70">
        <v>-22.878</v>
      </c>
      <c r="AX10" s="70">
        <v>-21.39</v>
      </c>
      <c r="AY10" s="70">
        <v>-23.295999999999992</v>
      </c>
      <c r="AZ10" s="70">
        <v>-23.234000000000009</v>
      </c>
      <c r="BA10" s="123">
        <v>-90.798000000000002</v>
      </c>
      <c r="BB10" s="70">
        <v>-20.093</v>
      </c>
      <c r="BC10" s="70">
        <v>-21.462</v>
      </c>
      <c r="BD10" s="70">
        <v>-20.941000000000003</v>
      </c>
      <c r="BE10" s="70">
        <v>-20.280999999999999</v>
      </c>
      <c r="BF10" s="169">
        <v>-82.777000000000001</v>
      </c>
      <c r="BG10" s="70">
        <v>-19.962</v>
      </c>
      <c r="BH10" s="70">
        <v>-21.452999999999999</v>
      </c>
      <c r="BK10" s="210"/>
    </row>
    <row r="11" spans="1:63" ht="16" x14ac:dyDescent="0.4">
      <c r="A11" s="17" t="s">
        <v>92</v>
      </c>
      <c r="B11" s="17" t="s">
        <v>93</v>
      </c>
      <c r="C11" s="17"/>
      <c r="D11" s="70">
        <v>-14.590999999999999</v>
      </c>
      <c r="E11" s="70">
        <v>9.9930000000000003</v>
      </c>
      <c r="F11" s="70">
        <v>-1.9350000000000005</v>
      </c>
      <c r="G11" s="70">
        <v>-1.6470000000000002</v>
      </c>
      <c r="H11" s="123">
        <v>-8.18</v>
      </c>
      <c r="I11" s="70">
        <v>-1.909</v>
      </c>
      <c r="J11" s="70">
        <v>-1.9879999999999998</v>
      </c>
      <c r="K11" s="70">
        <v>-1.1030000000000004</v>
      </c>
      <c r="L11" s="70">
        <v>-2.1509999999999998</v>
      </c>
      <c r="M11" s="123">
        <v>-7.1509999999999998</v>
      </c>
      <c r="N11" s="70">
        <v>-1.2989999999999999</v>
      </c>
      <c r="O11" s="70">
        <v>-1.3919999999999999</v>
      </c>
      <c r="P11" s="70">
        <v>-0.88900000000000023</v>
      </c>
      <c r="Q11" s="70">
        <v>-1.4450000000000003</v>
      </c>
      <c r="R11" s="123">
        <v>-5.0250000000000004</v>
      </c>
      <c r="S11" s="70">
        <v>-1.931</v>
      </c>
      <c r="T11" s="70">
        <v>-1.6179999999999999</v>
      </c>
      <c r="U11" s="70">
        <v>-0.68100000000000049</v>
      </c>
      <c r="V11" s="70">
        <v>-1.5909999999999993</v>
      </c>
      <c r="W11" s="123">
        <v>-5.8209999999999997</v>
      </c>
      <c r="X11" s="70">
        <v>-2.1850000000000001</v>
      </c>
      <c r="Y11" s="70">
        <v>-2.371</v>
      </c>
      <c r="Z11" s="70">
        <v>-1.9610000000000003</v>
      </c>
      <c r="AA11" s="70">
        <v>-2.8199999999999994</v>
      </c>
      <c r="AB11" s="123">
        <v>-9.3369999999999997</v>
      </c>
      <c r="AC11" s="70">
        <v>-3.6070000000000002</v>
      </c>
      <c r="AD11" s="70">
        <v>-3.2719999999999994</v>
      </c>
      <c r="AE11" s="70">
        <v>-0.7710000000000008</v>
      </c>
      <c r="AF11" s="70">
        <v>-2.4130000000000003</v>
      </c>
      <c r="AG11" s="123">
        <v>-10.063000000000001</v>
      </c>
      <c r="AH11" s="70">
        <v>-3.1190000000000002</v>
      </c>
      <c r="AI11" s="70">
        <v>-3.4229999999999996</v>
      </c>
      <c r="AJ11" s="70">
        <v>-2.1180000000000008</v>
      </c>
      <c r="AK11" s="70">
        <v>-2.9</v>
      </c>
      <c r="AL11" s="123">
        <v>-11.56</v>
      </c>
      <c r="AM11" s="70">
        <v>-1.72</v>
      </c>
      <c r="AN11" s="70">
        <v>-2.258</v>
      </c>
      <c r="AO11" s="70">
        <v>-1.2080000000000002</v>
      </c>
      <c r="AP11" s="70">
        <v>-1.8040000000000003</v>
      </c>
      <c r="AQ11" s="123">
        <v>-6.99</v>
      </c>
      <c r="AR11" s="70">
        <v>-2.3069999999999999</v>
      </c>
      <c r="AS11" s="70">
        <v>-2.7260000000000004</v>
      </c>
      <c r="AT11" s="70">
        <v>-1.8899999999999992</v>
      </c>
      <c r="AU11" s="70">
        <v>-1.8740000000000006</v>
      </c>
      <c r="AV11" s="123">
        <v>-8.7970000000000006</v>
      </c>
      <c r="AW11" s="70">
        <v>-2.819</v>
      </c>
      <c r="AX11" s="70">
        <v>-3.4699999999999998</v>
      </c>
      <c r="AY11" s="70">
        <v>-1.2700000000000005</v>
      </c>
      <c r="AZ11" s="70">
        <v>-2.1659999999999995</v>
      </c>
      <c r="BA11" s="123">
        <v>-9.7249999999999996</v>
      </c>
      <c r="BB11" s="70">
        <v>-2.726</v>
      </c>
      <c r="BC11" s="70">
        <v>-2.5380000000000003</v>
      </c>
      <c r="BD11" s="70">
        <v>-0.88399999999999945</v>
      </c>
      <c r="BE11" s="70">
        <v>-1.1919999999999999</v>
      </c>
      <c r="BF11" s="169">
        <v>-7.34</v>
      </c>
      <c r="BG11" s="70">
        <v>-0.999</v>
      </c>
      <c r="BH11" s="70">
        <v>-1.5289999999999999</v>
      </c>
      <c r="BK11" s="210"/>
    </row>
    <row r="12" spans="1:63" ht="16" x14ac:dyDescent="0.4">
      <c r="A12" s="17" t="s">
        <v>94</v>
      </c>
      <c r="B12" s="17" t="s">
        <v>95</v>
      </c>
      <c r="C12" s="17"/>
      <c r="D12" s="70">
        <v>12.301</v>
      </c>
      <c r="E12" s="70">
        <v>-12.103999999999999</v>
      </c>
      <c r="F12" s="70">
        <v>3.2479999999999993</v>
      </c>
      <c r="G12" s="70">
        <v>5.1671505056606719</v>
      </c>
      <c r="H12" s="123">
        <v>8.6121505056606722</v>
      </c>
      <c r="I12" s="70">
        <v>-7.4999999999999997E-2</v>
      </c>
      <c r="J12" s="70">
        <v>0.376</v>
      </c>
      <c r="K12" s="70">
        <v>19.311999999999998</v>
      </c>
      <c r="L12" s="70">
        <v>4.4209999999999994</v>
      </c>
      <c r="M12" s="123">
        <v>24.033999999999999</v>
      </c>
      <c r="N12" s="70">
        <v>1.903</v>
      </c>
      <c r="O12" s="70">
        <v>2.2029999999999998</v>
      </c>
      <c r="P12" s="70">
        <v>1.4859999999999998</v>
      </c>
      <c r="Q12" s="70">
        <v>3.4680000000000009</v>
      </c>
      <c r="R12" s="123">
        <v>9.06</v>
      </c>
      <c r="S12" s="70">
        <v>2.3279999999999998</v>
      </c>
      <c r="T12" s="70">
        <v>1.6960000000000002</v>
      </c>
      <c r="U12" s="70">
        <v>1.343</v>
      </c>
      <c r="V12" s="70">
        <v>4.673</v>
      </c>
      <c r="W12" s="123">
        <v>10.039999999999999</v>
      </c>
      <c r="X12" s="70">
        <v>0.63600000000000001</v>
      </c>
      <c r="Y12" s="70">
        <v>0.97800000000000009</v>
      </c>
      <c r="Z12" s="70">
        <v>0.39399999999999991</v>
      </c>
      <c r="AA12" s="70">
        <v>-0.17199999999999993</v>
      </c>
      <c r="AB12" s="123">
        <v>1.8360000000000001</v>
      </c>
      <c r="AC12" s="70">
        <v>0.45600000000000002</v>
      </c>
      <c r="AD12" s="70">
        <v>-3.0000000000000027E-2</v>
      </c>
      <c r="AE12" s="70">
        <v>4.8999999999999988E-2</v>
      </c>
      <c r="AF12" s="70">
        <v>-2.0900000000000003</v>
      </c>
      <c r="AG12" s="123">
        <v>-1.615</v>
      </c>
      <c r="AH12" s="70">
        <v>-0.499</v>
      </c>
      <c r="AI12" s="70">
        <v>-189.18600000000001</v>
      </c>
      <c r="AJ12" s="70">
        <v>-1.6699999999999875</v>
      </c>
      <c r="AK12" s="70">
        <v>-2.1440000000000055</v>
      </c>
      <c r="AL12" s="123">
        <v>-193.499</v>
      </c>
      <c r="AM12" s="70">
        <v>-0.74099999999999999</v>
      </c>
      <c r="AN12" s="70">
        <v>-36.58</v>
      </c>
      <c r="AO12" s="70">
        <v>-1.6679999999999993</v>
      </c>
      <c r="AP12" s="70">
        <v>182.88499999999999</v>
      </c>
      <c r="AQ12" s="123">
        <v>143.89599999999999</v>
      </c>
      <c r="AR12" s="70">
        <v>-0.224</v>
      </c>
      <c r="AS12" s="70">
        <v>-2.6999999999999996E-2</v>
      </c>
      <c r="AT12" s="70">
        <v>-0.22800000000000001</v>
      </c>
      <c r="AU12" s="70">
        <v>8.3019999999999996</v>
      </c>
      <c r="AV12" s="123">
        <v>7.8229999999999995</v>
      </c>
      <c r="AW12" s="70">
        <v>-0.35099999999999998</v>
      </c>
      <c r="AX12" s="70">
        <v>0.75800000000000001</v>
      </c>
      <c r="AY12" s="70">
        <v>-0.17600000000000002</v>
      </c>
      <c r="AZ12" s="70">
        <v>-0.23800000000000002</v>
      </c>
      <c r="BA12" s="123">
        <v>-7.0000000000000001E-3</v>
      </c>
      <c r="BB12" s="70">
        <v>-0.13700000000000001</v>
      </c>
      <c r="BC12" s="70">
        <v>6.6007410000000058E-2</v>
      </c>
      <c r="BD12" s="70">
        <v>-9.900741000000006E-2</v>
      </c>
      <c r="BE12" s="70">
        <v>0.94599999999999995</v>
      </c>
      <c r="BF12" s="169">
        <v>0.77599999999999991</v>
      </c>
      <c r="BG12" s="70">
        <v>8.9999999999999993E-3</v>
      </c>
      <c r="BH12" s="70">
        <v>2.3E-2</v>
      </c>
      <c r="BK12" s="210"/>
    </row>
    <row r="13" spans="1:63" ht="16" x14ac:dyDescent="0.4">
      <c r="A13" s="17" t="s">
        <v>96</v>
      </c>
      <c r="B13" s="17" t="s">
        <v>97</v>
      </c>
      <c r="C13" s="17"/>
      <c r="D13" s="70"/>
      <c r="E13" s="70"/>
      <c r="F13" s="70"/>
      <c r="G13" s="70"/>
      <c r="H13" s="123"/>
      <c r="I13" s="70"/>
      <c r="J13" s="70"/>
      <c r="K13" s="70"/>
      <c r="L13" s="70"/>
      <c r="M13" s="123"/>
      <c r="N13" s="70"/>
      <c r="O13" s="70"/>
      <c r="P13" s="70"/>
      <c r="Q13" s="70"/>
      <c r="R13" s="123"/>
      <c r="S13" s="70">
        <v>-2</v>
      </c>
      <c r="T13" s="70">
        <v>-2</v>
      </c>
      <c r="U13" s="70">
        <v>-2</v>
      </c>
      <c r="V13" s="70">
        <v>-9.6999999999999993</v>
      </c>
      <c r="W13" s="123">
        <v>-15.7</v>
      </c>
      <c r="X13" s="70">
        <v>-1.05</v>
      </c>
      <c r="Y13" s="70">
        <v>-1.05</v>
      </c>
      <c r="Z13" s="70">
        <v>-1.0499999999999998</v>
      </c>
      <c r="AA13" s="70">
        <v>-0.85000000000000009</v>
      </c>
      <c r="AB13" s="123">
        <v>-4</v>
      </c>
      <c r="AC13" s="70">
        <v>-1.25</v>
      </c>
      <c r="AD13" s="70">
        <v>-1.25</v>
      </c>
      <c r="AE13" s="70">
        <v>-1.25</v>
      </c>
      <c r="AF13" s="70">
        <v>-1.25</v>
      </c>
      <c r="AG13" s="123">
        <v>-5</v>
      </c>
      <c r="AH13" s="70">
        <v>-1.25</v>
      </c>
      <c r="AI13" s="70">
        <v>6.2969999999999997</v>
      </c>
      <c r="AJ13" s="70">
        <v>0</v>
      </c>
      <c r="AK13" s="70">
        <v>-0.80999999999999961</v>
      </c>
      <c r="AL13" s="123">
        <v>4.2370000000000001</v>
      </c>
      <c r="AM13" s="70">
        <v>-5.7000000000000002E-2</v>
      </c>
      <c r="AN13" s="70">
        <v>-6.4000000000000001E-2</v>
      </c>
      <c r="AO13" s="70">
        <v>0.121</v>
      </c>
      <c r="AP13" s="70">
        <v>-14.879</v>
      </c>
      <c r="AQ13" s="123">
        <v>-14.879</v>
      </c>
      <c r="AR13" s="70">
        <v>0</v>
      </c>
      <c r="AS13" s="70">
        <v>-6.5759999999999996</v>
      </c>
      <c r="AT13" s="70">
        <v>0.55299999999999994</v>
      </c>
      <c r="AU13" s="70">
        <v>9.3000000000000007</v>
      </c>
      <c r="AV13" s="123">
        <v>3.277000000000001</v>
      </c>
      <c r="AW13" s="70">
        <v>0</v>
      </c>
      <c r="AX13" s="70">
        <v>-5.7329999999999997</v>
      </c>
      <c r="AY13" s="70">
        <v>-0.71900000000000031</v>
      </c>
      <c r="AZ13" s="70">
        <v>5.8229999999999995</v>
      </c>
      <c r="BA13" s="123">
        <v>-0.629</v>
      </c>
      <c r="BB13" s="70">
        <v>0</v>
      </c>
      <c r="BC13" s="70">
        <v>-1.071</v>
      </c>
      <c r="BD13" s="70">
        <v>-1.849</v>
      </c>
      <c r="BE13" s="70">
        <v>-28.132999999999999</v>
      </c>
      <c r="BF13" s="169">
        <v>-31.052999999999997</v>
      </c>
      <c r="BG13" s="70">
        <v>2.1640000000000001</v>
      </c>
      <c r="BH13" s="70">
        <v>-0.95399999999999996</v>
      </c>
      <c r="BK13" s="210"/>
    </row>
    <row r="14" spans="1:63" ht="16" x14ac:dyDescent="0.4">
      <c r="A14" s="58" t="s">
        <v>98</v>
      </c>
      <c r="B14" s="58" t="s">
        <v>98</v>
      </c>
      <c r="C14" s="21"/>
      <c r="D14" s="59">
        <v>18.191000000000003</v>
      </c>
      <c r="E14" s="59">
        <v>27.444113277941106</v>
      </c>
      <c r="F14" s="59">
        <v>38.083871614956287</v>
      </c>
      <c r="G14" s="59">
        <v>49.515199287560925</v>
      </c>
      <c r="H14" s="111">
        <v>133.23418418045833</v>
      </c>
      <c r="I14" s="59">
        <v>17.870999999999999</v>
      </c>
      <c r="J14" s="59">
        <v>5.8680000000000021</v>
      </c>
      <c r="K14" s="59">
        <v>20.126999999999999</v>
      </c>
      <c r="L14" s="59">
        <v>28.857000000000003</v>
      </c>
      <c r="M14" s="111">
        <v>72.722999999999999</v>
      </c>
      <c r="N14" s="59">
        <v>25.087</v>
      </c>
      <c r="O14" s="59">
        <v>31.611000000000001</v>
      </c>
      <c r="P14" s="59">
        <v>42.675999999999995</v>
      </c>
      <c r="Q14" s="59">
        <v>50.274000000000001</v>
      </c>
      <c r="R14" s="111">
        <v>149.648</v>
      </c>
      <c r="S14" s="59">
        <v>45.957000000000001</v>
      </c>
      <c r="T14" s="59">
        <v>50.943000000000033</v>
      </c>
      <c r="U14" s="59">
        <v>59.900999999999968</v>
      </c>
      <c r="V14" s="59">
        <v>52.766000000000005</v>
      </c>
      <c r="W14" s="111">
        <v>209.56700000000001</v>
      </c>
      <c r="X14" s="59">
        <v>29.173999999999999</v>
      </c>
      <c r="Y14" s="59">
        <v>17.835000000000001</v>
      </c>
      <c r="Z14" s="59">
        <v>8.9089999999999847</v>
      </c>
      <c r="AA14" s="59">
        <v>-23.399999999999984</v>
      </c>
      <c r="AB14" s="111">
        <v>32.518000000000001</v>
      </c>
      <c r="AC14" s="59">
        <v>-10.561</v>
      </c>
      <c r="AD14" s="59">
        <v>-10.257000000000001</v>
      </c>
      <c r="AE14" s="59">
        <v>-12.910999999999998</v>
      </c>
      <c r="AF14" s="59">
        <v>-6.4200000000000017</v>
      </c>
      <c r="AG14" s="111">
        <v>-40.149000000000001</v>
      </c>
      <c r="AH14" s="59">
        <v>-10.268000000000001</v>
      </c>
      <c r="AI14" s="59">
        <v>-166.244</v>
      </c>
      <c r="AJ14" s="59">
        <v>3.7609999999999957</v>
      </c>
      <c r="AK14" s="59">
        <v>-3.1349999999999909</v>
      </c>
      <c r="AL14" s="111">
        <v>-175.886</v>
      </c>
      <c r="AM14" s="59">
        <v>24.658000000000001</v>
      </c>
      <c r="AN14" s="59">
        <v>42.393308000000019</v>
      </c>
      <c r="AO14" s="59">
        <v>29.833691999999985</v>
      </c>
      <c r="AP14" s="59">
        <v>181.34899999999996</v>
      </c>
      <c r="AQ14" s="111">
        <v>278.23399999999998</v>
      </c>
      <c r="AR14" s="59">
        <v>28.875000000000004</v>
      </c>
      <c r="AS14" s="59">
        <v>-18.264000000000003</v>
      </c>
      <c r="AT14" s="59">
        <v>-28.18</v>
      </c>
      <c r="AU14" s="59">
        <v>15.610999999999994</v>
      </c>
      <c r="AV14" s="111">
        <v>-1.9580000000000837</v>
      </c>
      <c r="AW14" s="59">
        <v>9.3379999999999992</v>
      </c>
      <c r="AX14" s="59">
        <v>35.692999999999998</v>
      </c>
      <c r="AY14" s="59">
        <v>26.089000000000006</v>
      </c>
      <c r="AZ14" s="59">
        <v>-7.7990000000000066</v>
      </c>
      <c r="BA14" s="111">
        <v>63.320999999999998</v>
      </c>
      <c r="BB14" s="59">
        <v>11.542999999999999</v>
      </c>
      <c r="BC14" s="59">
        <v>-1.4569925900000342</v>
      </c>
      <c r="BD14" s="59">
        <v>-11.104007409999966</v>
      </c>
      <c r="BE14" s="59">
        <v>-35.905000000000001</v>
      </c>
      <c r="BF14" s="167">
        <v>-36.925000000000011</v>
      </c>
      <c r="BG14" s="59">
        <v>-17.637999999999998</v>
      </c>
      <c r="BH14" s="59">
        <v>3.3149999999999986</v>
      </c>
      <c r="BK14" s="210"/>
    </row>
    <row r="15" spans="1:63" ht="16" x14ac:dyDescent="0.4">
      <c r="A15" s="61" t="s">
        <v>99</v>
      </c>
      <c r="B15" s="61" t="s">
        <v>100</v>
      </c>
      <c r="C15" s="62"/>
      <c r="D15" s="63">
        <v>0.11640377539593666</v>
      </c>
      <c r="E15" s="63">
        <v>0.17488569948855581</v>
      </c>
      <c r="F15" s="63">
        <v>0.21945172388632248</v>
      </c>
      <c r="G15" s="63">
        <v>0.27947688553748024</v>
      </c>
      <c r="H15" s="112">
        <v>0.2006801857780437</v>
      </c>
      <c r="I15" s="63">
        <v>0.1190106750664278</v>
      </c>
      <c r="J15" s="63">
        <v>4.2215219924893181E-2</v>
      </c>
      <c r="K15" s="63">
        <v>0.14326490518763169</v>
      </c>
      <c r="L15" s="63">
        <v>0.16415049261644185</v>
      </c>
      <c r="M15" s="112">
        <v>0.12011416320780116</v>
      </c>
      <c r="N15" s="63">
        <v>0.14401345587517722</v>
      </c>
      <c r="O15" s="63">
        <v>0.1886334206553327</v>
      </c>
      <c r="P15" s="63">
        <v>0.22993658371004161</v>
      </c>
      <c r="Q15" s="63">
        <v>0.23608913099626658</v>
      </c>
      <c r="R15" s="112">
        <v>0.20213906921582769</v>
      </c>
      <c r="S15" s="63">
        <v>0.23417221647567174</v>
      </c>
      <c r="T15" s="63">
        <v>0.2496031279397932</v>
      </c>
      <c r="U15" s="63">
        <f>+U14/U2</f>
        <v>0.27305050210368437</v>
      </c>
      <c r="V15" s="63">
        <v>-0.50493698353894056</v>
      </c>
      <c r="W15" s="112">
        <v>0.25188886298020874</v>
      </c>
      <c r="X15" s="63">
        <v>0.14917039498913462</v>
      </c>
      <c r="Y15" s="63">
        <v>0.2496031279397932</v>
      </c>
      <c r="Z15" s="63">
        <v>0.27305050210368437</v>
      </c>
      <c r="AA15" s="63">
        <v>-0.15783296685507694</v>
      </c>
      <c r="AB15" s="112">
        <v>4.4220998922964785E-2</v>
      </c>
      <c r="AC15" s="63">
        <v>-5.7545293556736141E-2</v>
      </c>
      <c r="AD15" s="63">
        <v>-5.7482150662975379E-2</v>
      </c>
      <c r="AE15" s="63">
        <v>5.1008418256408256E-2</v>
      </c>
      <c r="AF15" s="63">
        <v>7.287921141675105E-3</v>
      </c>
      <c r="AG15" s="112">
        <v>-5.6731104821628159E-2</v>
      </c>
      <c r="AH15" s="63">
        <v>-6.1468098607569181E-2</v>
      </c>
      <c r="AI15" s="63">
        <v>-0.80944590515142667</v>
      </c>
      <c r="AJ15" s="63">
        <v>0.57738984826260742</v>
      </c>
      <c r="AK15" s="63">
        <v>7.894398652697987E-2</v>
      </c>
      <c r="AL15" s="112">
        <v>-0.21458016896940862</v>
      </c>
      <c r="AM15" s="63">
        <v>0.10534185478220749</v>
      </c>
      <c r="AN15" s="63">
        <v>0.13264074340602613</v>
      </c>
      <c r="AO15" s="63">
        <v>0.12783037470274433</v>
      </c>
      <c r="AP15" s="63">
        <v>-8.8514577676431866E-2</v>
      </c>
      <c r="AQ15" s="112">
        <f>AQ14/AQ2</f>
        <v>0.27729839521454608</v>
      </c>
      <c r="AR15" s="63">
        <f>AR14/AR2</f>
        <v>0.11096678490313705</v>
      </c>
      <c r="AS15" s="63">
        <f>AS14/AS2</f>
        <v>-9.1963746223564985E-2</v>
      </c>
      <c r="AT15" s="63">
        <f>AT14/AT2</f>
        <v>-0.16497959709382998</v>
      </c>
      <c r="AU15" s="63">
        <v>7.7758434056478101E-2</v>
      </c>
      <c r="AV15" s="112">
        <v>-2.3601109903065298E-3</v>
      </c>
      <c r="AW15" s="63">
        <f>AW14/AW2</f>
        <v>4.5838998983864551E-2</v>
      </c>
      <c r="AX15" s="63">
        <f>AX14/AX2</f>
        <v>0.14582737516444544</v>
      </c>
      <c r="AY15" s="63">
        <f>AY14/AY2</f>
        <v>0.11878776288889804</v>
      </c>
      <c r="AZ15" s="63">
        <f t="shared" ref="AZ15:BB15" si="2">AZ14/AZ2</f>
        <v>-3.7482758123507126E-2</v>
      </c>
      <c r="BA15" s="112">
        <f t="shared" si="2"/>
        <v>7.2270139048199483E-2</v>
      </c>
      <c r="BB15" s="63">
        <f t="shared" si="2"/>
        <v>6.1763934742012631E-2</v>
      </c>
      <c r="BC15" s="63">
        <v>-7.5776496684438147E-3</v>
      </c>
      <c r="BD15" s="63">
        <v>-6.1374555941234143E-2</v>
      </c>
      <c r="BE15" s="63">
        <v>-0.1918350555122191</v>
      </c>
      <c r="BF15" s="168">
        <v>-4.9414387649681785E-2</v>
      </c>
      <c r="BG15" s="63">
        <v>-0.11466872972428273</v>
      </c>
      <c r="BH15" s="63">
        <v>1.6493029642675894E-2</v>
      </c>
      <c r="BK15" s="210"/>
    </row>
    <row r="16" spans="1:63" ht="16" x14ac:dyDescent="0.4">
      <c r="A16" s="17" t="s">
        <v>101</v>
      </c>
      <c r="B16" s="17" t="s">
        <v>102</v>
      </c>
      <c r="C16" s="17"/>
      <c r="D16" s="70">
        <v>-7.5119999999999996</v>
      </c>
      <c r="E16" s="70">
        <v>-8.8419999999999987</v>
      </c>
      <c r="F16" s="70">
        <v>-8.6769999999999996</v>
      </c>
      <c r="G16" s="70">
        <v>-28.542999999999999</v>
      </c>
      <c r="H16" s="123">
        <v>-53.573999999999998</v>
      </c>
      <c r="I16" s="70">
        <v>-4.9560000000000004</v>
      </c>
      <c r="J16" s="70">
        <v>-4.9869999999999992</v>
      </c>
      <c r="K16" s="70">
        <v>-4.8740000000000014</v>
      </c>
      <c r="L16" s="70">
        <v>-5.2620000000000013</v>
      </c>
      <c r="M16" s="123">
        <v>-20.079000000000001</v>
      </c>
      <c r="N16" s="70">
        <v>-4.9649999999999999</v>
      </c>
      <c r="O16" s="70">
        <v>-5.1050000000000004</v>
      </c>
      <c r="P16" s="70">
        <v>-5.2740000000000009</v>
      </c>
      <c r="Q16" s="70">
        <v>-6.4159999999999968</v>
      </c>
      <c r="R16" s="123">
        <v>-21.759999999999998</v>
      </c>
      <c r="S16" s="70">
        <v>-5.6319999999999997</v>
      </c>
      <c r="T16" s="70">
        <v>-23.332999999999998</v>
      </c>
      <c r="U16" s="70">
        <v>-3.3190000000000048</v>
      </c>
      <c r="V16" s="70">
        <v>-5.116000000000005</v>
      </c>
      <c r="W16" s="123">
        <v>-37.400000000000006</v>
      </c>
      <c r="X16" s="70">
        <v>-6.6869999999999994</v>
      </c>
      <c r="Y16" s="70">
        <v>-6.322000000000001</v>
      </c>
      <c r="Z16" s="70">
        <v>-5.9519999999999982</v>
      </c>
      <c r="AA16" s="70">
        <v>-3.7580000000000027</v>
      </c>
      <c r="AB16" s="123">
        <v>-22.719000000000001</v>
      </c>
      <c r="AC16" s="70">
        <v>-6.1020000000000003</v>
      </c>
      <c r="AD16" s="70">
        <v>-6.9249999999999989</v>
      </c>
      <c r="AE16" s="70">
        <v>-7.6610000000000031</v>
      </c>
      <c r="AF16" s="70">
        <v>-7.5849999999999973</v>
      </c>
      <c r="AG16" s="123">
        <v>-28.273</v>
      </c>
      <c r="AH16" s="70">
        <v>-5.29</v>
      </c>
      <c r="AI16" s="70">
        <v>-4.6139999999999999</v>
      </c>
      <c r="AJ16" s="70">
        <v>-7.8439999999999985</v>
      </c>
      <c r="AK16" s="70">
        <v>-3.7630000000000008</v>
      </c>
      <c r="AL16" s="123">
        <v>-21.510999999999999</v>
      </c>
      <c r="AM16" s="70">
        <v>-5.5020000000000007</v>
      </c>
      <c r="AN16" s="70">
        <v>-8.2110000000000003</v>
      </c>
      <c r="AO16" s="70">
        <v>-5.6280000000000001</v>
      </c>
      <c r="AP16" s="70">
        <v>-6.9149999999999974</v>
      </c>
      <c r="AQ16" s="123">
        <v>-26.256</v>
      </c>
      <c r="AR16" s="70">
        <v>-5.375</v>
      </c>
      <c r="AS16" s="70">
        <v>-7.6110000000000007</v>
      </c>
      <c r="AT16" s="70">
        <v>-7.855000000000004</v>
      </c>
      <c r="AU16" s="70">
        <v>-9.3809999999999967</v>
      </c>
      <c r="AV16" s="123">
        <v>-30.222000000000001</v>
      </c>
      <c r="AW16" s="70">
        <v>-8.2899999999999991</v>
      </c>
      <c r="AX16" s="70">
        <v>-7.7760000000000034</v>
      </c>
      <c r="AY16" s="70">
        <v>-7.6869999999999976</v>
      </c>
      <c r="AZ16" s="70">
        <v>-8.6829999999999998</v>
      </c>
      <c r="BA16" s="123">
        <v>-32.436</v>
      </c>
      <c r="BB16" s="70">
        <v>-8.5160000000000018</v>
      </c>
      <c r="BC16" s="70">
        <v>-11.171999999999999</v>
      </c>
      <c r="BD16" s="70">
        <v>-9.0739999999999981</v>
      </c>
      <c r="BE16" s="70">
        <v>-11.335000000000001</v>
      </c>
      <c r="BF16" s="169">
        <v>-40.097000000000001</v>
      </c>
      <c r="BG16" s="70">
        <v>-8.9039999999999999</v>
      </c>
      <c r="BH16" s="70">
        <v>-5.82</v>
      </c>
      <c r="BK16" s="210"/>
    </row>
    <row r="17" spans="1:63" ht="16" x14ac:dyDescent="0.4">
      <c r="A17" s="17" t="s">
        <v>103</v>
      </c>
      <c r="B17" s="17" t="s">
        <v>260</v>
      </c>
      <c r="C17" s="17"/>
      <c r="D17" s="68">
        <v>2.42</v>
      </c>
      <c r="E17" s="70">
        <v>-0.7710000000000008</v>
      </c>
      <c r="F17" s="70">
        <v>-12.122999999999989</v>
      </c>
      <c r="G17" s="70">
        <v>-2.144999999999996</v>
      </c>
      <c r="H17" s="123">
        <v>-12.618999999999986</v>
      </c>
      <c r="I17" s="53">
        <v>-2.085</v>
      </c>
      <c r="J17" s="53">
        <v>0.89700000000000002</v>
      </c>
      <c r="K17" s="53">
        <v>-0.36</v>
      </c>
      <c r="L17" s="53">
        <v>-0.30599999999999999</v>
      </c>
      <c r="M17" s="124">
        <v>-1.8540000000000001</v>
      </c>
      <c r="N17" s="53">
        <v>-1.152000000000001</v>
      </c>
      <c r="O17" s="53">
        <v>-2.2949999999999982</v>
      </c>
      <c r="P17" s="53">
        <v>-0.11400000000000077</v>
      </c>
      <c r="Q17" s="53">
        <v>-4.4570000000000007</v>
      </c>
      <c r="R17" s="124">
        <v>-8.0180000000000007</v>
      </c>
      <c r="S17" s="53">
        <v>-0.20100000000000051</v>
      </c>
      <c r="T17" s="53">
        <v>1.4639999999999986</v>
      </c>
      <c r="U17" s="53">
        <v>-0.12999999999998124</v>
      </c>
      <c r="V17" s="53">
        <v>-6.900000000000972E-2</v>
      </c>
      <c r="W17" s="124">
        <v>1.0640000000000072</v>
      </c>
      <c r="X17" s="53">
        <v>1.254999999999999</v>
      </c>
      <c r="Y17" s="53">
        <v>-0.69799999999999862</v>
      </c>
      <c r="Z17" s="53">
        <v>1.7329999999999988</v>
      </c>
      <c r="AA17" s="53">
        <v>-0.98399999999999821</v>
      </c>
      <c r="AB17" s="124">
        <v>1.3060000000000009</v>
      </c>
      <c r="AC17" s="53">
        <v>0.96400000000000041</v>
      </c>
      <c r="AD17" s="53">
        <v>-0.46600000000000108</v>
      </c>
      <c r="AE17" s="53">
        <v>-0.79299999999999748</v>
      </c>
      <c r="AF17" s="53">
        <v>32.078000000000003</v>
      </c>
      <c r="AG17" s="124">
        <v>31.783000000000001</v>
      </c>
      <c r="AH17" s="53">
        <v>1.516</v>
      </c>
      <c r="AI17" s="53">
        <v>-0.40399999999999991</v>
      </c>
      <c r="AJ17" s="53">
        <v>2.3199999999999967</v>
      </c>
      <c r="AK17" s="53">
        <v>1.4330000000000016</v>
      </c>
      <c r="AL17" s="124">
        <v>4.8649999999999984</v>
      </c>
      <c r="AM17" s="53">
        <v>0.71200000000000063</v>
      </c>
      <c r="AN17" s="53">
        <v>1.644000000000001</v>
      </c>
      <c r="AO17" s="53">
        <v>1.4299999999999997</v>
      </c>
      <c r="AP17" s="53">
        <v>-2.1700000000000017</v>
      </c>
      <c r="AQ17" s="124">
        <v>1.6159999999999997</v>
      </c>
      <c r="AR17" s="53">
        <v>-0.40299999999999958</v>
      </c>
      <c r="AS17" s="53">
        <v>-2.3000000000000576E-2</v>
      </c>
      <c r="AT17" s="53">
        <v>0.3640000000000061</v>
      </c>
      <c r="AU17" s="53">
        <v>-0.89100000000000534</v>
      </c>
      <c r="AV17" s="124">
        <v>-0.99199999999991206</v>
      </c>
      <c r="AW17" s="53">
        <v>0.54900000000000004</v>
      </c>
      <c r="AX17" s="53">
        <v>0.39200000000000246</v>
      </c>
      <c r="AY17" s="53">
        <v>-1.6190000000000033</v>
      </c>
      <c r="AZ17" s="53">
        <v>2.129999999999999</v>
      </c>
      <c r="BA17" s="124">
        <v>1.4519999999999982</v>
      </c>
      <c r="BB17" s="53">
        <v>-1.195999999999998</v>
      </c>
      <c r="BC17" s="53">
        <v>-2.516</v>
      </c>
      <c r="BD17" s="53">
        <v>1.8999999999998352E-2</v>
      </c>
      <c r="BE17" s="53">
        <v>-1.2049999999999983</v>
      </c>
      <c r="BF17" s="170">
        <v>-4.8959999999999866</v>
      </c>
      <c r="BG17" s="53">
        <v>0.8539999999999992</v>
      </c>
      <c r="BH17" s="53">
        <v>0.50000000000000178</v>
      </c>
      <c r="BK17" s="210"/>
    </row>
    <row r="18" spans="1:63" ht="16" x14ac:dyDescent="0.4">
      <c r="A18" s="47" t="s">
        <v>105</v>
      </c>
      <c r="B18" s="47" t="s">
        <v>106</v>
      </c>
      <c r="C18" s="21"/>
      <c r="D18" s="48">
        <v>13.094000000000001</v>
      </c>
      <c r="E18" s="48">
        <v>17.831113277941107</v>
      </c>
      <c r="F18" s="48">
        <v>17.2888716149563</v>
      </c>
      <c r="G18" s="48">
        <v>18.827199287560937</v>
      </c>
      <c r="H18" s="49">
        <v>67.041184180458345</v>
      </c>
      <c r="I18" s="48">
        <v>10.824</v>
      </c>
      <c r="J18" s="48">
        <v>1.778</v>
      </c>
      <c r="K18" s="48">
        <v>14.893000000000001</v>
      </c>
      <c r="L18" s="48">
        <v>23.289000000000001</v>
      </c>
      <c r="M18" s="49">
        <v>50.783999999999999</v>
      </c>
      <c r="N18" s="48">
        <v>18.97</v>
      </c>
      <c r="O18" s="48">
        <v>24.210999999999999</v>
      </c>
      <c r="P18" s="48">
        <v>37.287999999999997</v>
      </c>
      <c r="Q18" s="48">
        <v>39.40100000000001</v>
      </c>
      <c r="R18" s="49">
        <v>119.87</v>
      </c>
      <c r="S18" s="48">
        <v>40.124000000000002</v>
      </c>
      <c r="T18" s="48">
        <v>29.074000000000034</v>
      </c>
      <c r="U18" s="48">
        <v>56.451999999999984</v>
      </c>
      <c r="V18" s="48">
        <v>47.580999999999975</v>
      </c>
      <c r="W18" s="49">
        <v>173.23099999999999</v>
      </c>
      <c r="X18" s="48">
        <v>23.742000000000001</v>
      </c>
      <c r="Y18" s="48">
        <v>10.815000000000001</v>
      </c>
      <c r="Z18" s="48">
        <v>4.6899999999999835</v>
      </c>
      <c r="AA18" s="48">
        <v>-28.143999999999984</v>
      </c>
      <c r="AB18" s="49">
        <v>11.103</v>
      </c>
      <c r="AC18" s="48">
        <v>-15.707000000000001</v>
      </c>
      <c r="AD18" s="48">
        <v>-17.637999999999998</v>
      </c>
      <c r="AE18" s="48">
        <v>-21.384999999999998</v>
      </c>
      <c r="AF18" s="48">
        <v>18.073</v>
      </c>
      <c r="AG18" s="49">
        <v>-36.656999999999996</v>
      </c>
      <c r="AH18" s="48">
        <v>-14.038</v>
      </c>
      <c r="AI18" s="48">
        <v>-171.27699999999999</v>
      </c>
      <c r="AJ18" s="48">
        <v>-1.8060000000000116</v>
      </c>
      <c r="AK18" s="48">
        <v>-5.4179999999999779</v>
      </c>
      <c r="AL18" s="49">
        <v>-192.53899999999999</v>
      </c>
      <c r="AM18" s="48">
        <v>19.847000000000001</v>
      </c>
      <c r="AN18" s="48">
        <v>35.803308000000015</v>
      </c>
      <c r="AO18" s="48">
        <v>25.647691999999985</v>
      </c>
      <c r="AP18" s="48">
        <v>172.291</v>
      </c>
      <c r="AQ18" s="49">
        <v>253.589</v>
      </c>
      <c r="AR18" s="48">
        <v>23.096999999999998</v>
      </c>
      <c r="AS18" s="48">
        <v>-25.895999999999997</v>
      </c>
      <c r="AT18" s="48">
        <v>-35.667999999999992</v>
      </c>
      <c r="AU18" s="48">
        <v>5.3389999999999915</v>
      </c>
      <c r="AV18" s="49">
        <v>-33.171999999999997</v>
      </c>
      <c r="AW18" s="48">
        <v>1.601</v>
      </c>
      <c r="AX18" s="48">
        <v>28.262</v>
      </c>
      <c r="AY18" s="48">
        <v>16.826000000000001</v>
      </c>
      <c r="AZ18" s="48">
        <v>-14.338999999999999</v>
      </c>
      <c r="BA18" s="49">
        <v>32.35</v>
      </c>
      <c r="BB18" s="48">
        <v>1.831</v>
      </c>
      <c r="BC18" s="48">
        <v>-15.144992590000033</v>
      </c>
      <c r="BD18" s="48">
        <v>-20.159007409999965</v>
      </c>
      <c r="BE18" s="48">
        <v>-48.445</v>
      </c>
      <c r="BF18" s="163">
        <v>-81.918000000000006</v>
      </c>
      <c r="BG18" s="48">
        <v>-25.687999999999999</v>
      </c>
      <c r="BH18" s="48">
        <v>-2.0049999999999999</v>
      </c>
      <c r="BK18" s="210"/>
    </row>
    <row r="19" spans="1:63" ht="16" x14ac:dyDescent="0.4">
      <c r="A19" s="17" t="s">
        <v>107</v>
      </c>
      <c r="B19" s="17" t="s">
        <v>108</v>
      </c>
      <c r="C19" s="17"/>
      <c r="D19" s="70">
        <v>-3.4079999999999999</v>
      </c>
      <c r="E19" s="70">
        <v>-5.383</v>
      </c>
      <c r="F19" s="70">
        <v>-4.3200000000000012</v>
      </c>
      <c r="G19" s="70">
        <v>-4.0723049296889426</v>
      </c>
      <c r="H19" s="123">
        <v>-17.183304929688944</v>
      </c>
      <c r="I19" s="53">
        <v>-2.8769999999999998</v>
      </c>
      <c r="J19" s="53">
        <v>-0.52100000000000002</v>
      </c>
      <c r="K19" s="53">
        <v>-3.077</v>
      </c>
      <c r="L19" s="53">
        <v>-5.8339999999999996</v>
      </c>
      <c r="M19" s="124">
        <v>-12.308999999999999</v>
      </c>
      <c r="N19" s="70">
        <v>-4.78</v>
      </c>
      <c r="O19" s="70">
        <v>-6.1279999999999992</v>
      </c>
      <c r="P19" s="70">
        <v>-8.7769999999999992</v>
      </c>
      <c r="Q19" s="70">
        <v>-6.5210000000000008</v>
      </c>
      <c r="R19" s="124">
        <v>-26.206</v>
      </c>
      <c r="S19" s="70">
        <v>-10.252000000000001</v>
      </c>
      <c r="T19" s="70">
        <v>-7.6159999999999979</v>
      </c>
      <c r="U19" s="70">
        <v>-14.334</v>
      </c>
      <c r="V19" s="70">
        <v>-9.3580000000000005</v>
      </c>
      <c r="W19" s="124">
        <v>-41.56</v>
      </c>
      <c r="X19" s="70">
        <v>-5.6310000000000002</v>
      </c>
      <c r="Y19" s="70">
        <v>-2.5157500000000006</v>
      </c>
      <c r="Z19" s="70">
        <v>-0.97774999999999856</v>
      </c>
      <c r="AA19" s="70">
        <v>9.519499999999999</v>
      </c>
      <c r="AB19" s="124">
        <v>0.39500000000000002</v>
      </c>
      <c r="AC19" s="70">
        <v>4.12</v>
      </c>
      <c r="AD19" s="70">
        <v>4.5959999999999992</v>
      </c>
      <c r="AE19" s="70">
        <v>5.4480000000000004</v>
      </c>
      <c r="AF19" s="70">
        <v>-2.238999999999999</v>
      </c>
      <c r="AG19" s="124">
        <v>11.925000000000001</v>
      </c>
      <c r="AH19" s="70">
        <v>3.363</v>
      </c>
      <c r="AI19" s="70">
        <v>-12.927</v>
      </c>
      <c r="AJ19" s="70">
        <v>-1.3339999999999996</v>
      </c>
      <c r="AK19" s="70">
        <v>1.4779999999999998</v>
      </c>
      <c r="AL19" s="124">
        <v>-9.42</v>
      </c>
      <c r="AM19" s="70">
        <v>-3.6320000000000001</v>
      </c>
      <c r="AN19" s="70">
        <v>-5.103826999999999</v>
      </c>
      <c r="AO19" s="70">
        <v>-3.7591730000000005</v>
      </c>
      <c r="AP19" s="70">
        <v>7.831999999999999</v>
      </c>
      <c r="AQ19" s="124">
        <v>-4.6630000000000003</v>
      </c>
      <c r="AR19" s="70">
        <v>-2.6152500000000005</v>
      </c>
      <c r="AS19" s="70">
        <v>6.6402500000000009</v>
      </c>
      <c r="AT19" s="70">
        <v>8.5229999999999997</v>
      </c>
      <c r="AU19" s="70">
        <v>-0.44500000000000001</v>
      </c>
      <c r="AV19" s="124">
        <v>12.122999999999999</v>
      </c>
      <c r="AW19" s="70">
        <v>-0.29299999999999998</v>
      </c>
      <c r="AX19" s="70">
        <v>-9.7210000000000001</v>
      </c>
      <c r="AY19" s="70">
        <v>-3.4760000000000009</v>
      </c>
      <c r="AZ19" s="70">
        <v>1.2599999999999998</v>
      </c>
      <c r="BA19" s="124">
        <v>-12.23</v>
      </c>
      <c r="BB19" s="70">
        <v>-1.8480000000000001</v>
      </c>
      <c r="BC19" s="70">
        <v>2.194</v>
      </c>
      <c r="BD19" s="70">
        <v>3.9450000000000003</v>
      </c>
      <c r="BE19" s="70">
        <v>15.125</v>
      </c>
      <c r="BF19" s="170">
        <v>19.416</v>
      </c>
      <c r="BG19" s="70">
        <v>4.0919999999999996</v>
      </c>
      <c r="BH19" s="70">
        <v>-1.073</v>
      </c>
      <c r="BK19" s="210"/>
    </row>
    <row r="20" spans="1:63" ht="16" x14ac:dyDescent="0.4">
      <c r="A20" s="47" t="s">
        <v>109</v>
      </c>
      <c r="B20" s="47" t="s">
        <v>110</v>
      </c>
      <c r="C20" s="21"/>
      <c r="D20" s="48">
        <v>9.6859999999999999</v>
      </c>
      <c r="E20" s="48">
        <v>12.448113277941106</v>
      </c>
      <c r="F20" s="48">
        <v>12.968871614956305</v>
      </c>
      <c r="G20" s="48">
        <v>14.754894357871985</v>
      </c>
      <c r="H20" s="49">
        <v>49.857879250769393</v>
      </c>
      <c r="I20" s="48">
        <v>7.9470000000000001</v>
      </c>
      <c r="J20" s="48">
        <v>1.2569999999999999</v>
      </c>
      <c r="K20" s="48">
        <v>11.816000000000001</v>
      </c>
      <c r="L20" s="48">
        <v>17.456</v>
      </c>
      <c r="M20" s="49">
        <v>38.475999999999999</v>
      </c>
      <c r="N20" s="48">
        <v>14.19</v>
      </c>
      <c r="O20" s="48">
        <v>18.083000000000006</v>
      </c>
      <c r="P20" s="48">
        <v>28.510999999999996</v>
      </c>
      <c r="Q20" s="48">
        <v>32.880000000000003</v>
      </c>
      <c r="R20" s="49">
        <v>93.664000000000001</v>
      </c>
      <c r="S20" s="48">
        <v>29.872</v>
      </c>
      <c r="T20" s="48">
        <v>21.458000000000034</v>
      </c>
      <c r="U20" s="48">
        <v>42.117999999999967</v>
      </c>
      <c r="V20" s="48">
        <v>38.222999999999985</v>
      </c>
      <c r="W20" s="49">
        <v>131.67099999999999</v>
      </c>
      <c r="X20" s="48">
        <v>18.111000000000001</v>
      </c>
      <c r="Y20" s="48">
        <v>8.2992500000000007</v>
      </c>
      <c r="Z20" s="48">
        <v>3.7122499999999832</v>
      </c>
      <c r="AA20" s="48">
        <v>-18.624499999999983</v>
      </c>
      <c r="AB20" s="49">
        <v>11.497999999999999</v>
      </c>
      <c r="AC20" s="48">
        <v>-11.587</v>
      </c>
      <c r="AD20" s="48">
        <v>-13.042000000000002</v>
      </c>
      <c r="AE20" s="48">
        <v>-15.937000000000001</v>
      </c>
      <c r="AF20" s="48">
        <v>15.834000000000003</v>
      </c>
      <c r="AG20" s="49">
        <v>-24.731999999999999</v>
      </c>
      <c r="AH20" s="48">
        <v>-10.675000000000001</v>
      </c>
      <c r="AI20" s="48">
        <v>-184.20399999999998</v>
      </c>
      <c r="AJ20" s="48">
        <v>-3.1400000000000148</v>
      </c>
      <c r="AK20" s="48">
        <v>-3.9399999999999977</v>
      </c>
      <c r="AL20" s="49">
        <v>-201.959</v>
      </c>
      <c r="AM20" s="48">
        <v>16.215</v>
      </c>
      <c r="AN20" s="48">
        <v>30.699481000000024</v>
      </c>
      <c r="AO20" s="48">
        <v>21.88851899999997</v>
      </c>
      <c r="AP20" s="48">
        <v>180.12299999999999</v>
      </c>
      <c r="AQ20" s="49">
        <v>248.92599999999999</v>
      </c>
      <c r="AR20" s="48">
        <v>20.481749999999998</v>
      </c>
      <c r="AS20" s="48">
        <v>-19.255749999999999</v>
      </c>
      <c r="AT20" s="48">
        <v>-27.145000000000003</v>
      </c>
      <c r="AU20" s="48">
        <v>4.8449999999999998</v>
      </c>
      <c r="AV20" s="49">
        <v>-21.010000000000083</v>
      </c>
      <c r="AW20" s="48">
        <v>1.3080000000000001</v>
      </c>
      <c r="AX20" s="48">
        <v>18.541</v>
      </c>
      <c r="AY20" s="48">
        <v>13.349999999999998</v>
      </c>
      <c r="AZ20" s="48">
        <v>-13.078999999999997</v>
      </c>
      <c r="BA20" s="49">
        <v>20.12</v>
      </c>
      <c r="BB20" s="48">
        <v>-1.7000000000000001E-2</v>
      </c>
      <c r="BC20" s="48">
        <v>-12.950992590000034</v>
      </c>
      <c r="BD20" s="48">
        <v>-16.214007409999965</v>
      </c>
      <c r="BE20" s="48">
        <v>-33.32</v>
      </c>
      <c r="BF20" s="163">
        <v>-62.502000000000002</v>
      </c>
      <c r="BG20" s="48">
        <v>-21.596</v>
      </c>
      <c r="BH20" s="48">
        <v>-3.0779999999999998</v>
      </c>
      <c r="BK20" s="210"/>
    </row>
    <row r="21" spans="1:63" ht="16" x14ac:dyDescent="0.4">
      <c r="A21" s="17" t="s">
        <v>230</v>
      </c>
      <c r="B21" s="17" t="s">
        <v>231</v>
      </c>
      <c r="C21" s="9"/>
      <c r="D21" s="108"/>
      <c r="E21" s="108"/>
      <c r="F21" s="108"/>
      <c r="G21" s="108"/>
      <c r="H21" s="109"/>
      <c r="I21" s="108"/>
      <c r="J21" s="108"/>
      <c r="K21" s="108"/>
      <c r="L21" s="108"/>
      <c r="M21" s="109"/>
      <c r="N21" s="108">
        <v>-0.44900000000000001</v>
      </c>
      <c r="O21" s="108">
        <v>-0.35900000000000004</v>
      </c>
      <c r="P21" s="108">
        <v>-0.48699999999999988</v>
      </c>
      <c r="Q21" s="108">
        <v>-0.58400000000000007</v>
      </c>
      <c r="R21" s="109">
        <v>-1.879</v>
      </c>
      <c r="S21" s="108">
        <v>-0.32300000000000001</v>
      </c>
      <c r="T21" s="108">
        <v>-0.69399999999999995</v>
      </c>
      <c r="U21" s="108">
        <v>-0.752</v>
      </c>
      <c r="V21" s="108">
        <v>-0.77200000000000002</v>
      </c>
      <c r="W21" s="109">
        <v>-2.5409999999999999</v>
      </c>
      <c r="X21" s="108">
        <v>-0.83899999999999997</v>
      </c>
      <c r="Y21" s="108">
        <v>-0.59600000000000009</v>
      </c>
      <c r="Z21" s="108">
        <v>-0.84899999999999975</v>
      </c>
      <c r="AA21" s="108">
        <v>-5.0000000000003375E-3</v>
      </c>
      <c r="AB21" s="109">
        <v>-2.2890000000000001</v>
      </c>
      <c r="AC21" s="108">
        <v>-0.214</v>
      </c>
      <c r="AD21" s="108">
        <v>-0.52800000000000002</v>
      </c>
      <c r="AE21" s="108">
        <v>-0.52</v>
      </c>
      <c r="AF21" s="108">
        <v>-0.43799999999999994</v>
      </c>
      <c r="AG21" s="109">
        <v>-1.7</v>
      </c>
      <c r="AH21" s="108">
        <v>1.0469999999999999</v>
      </c>
      <c r="AI21" s="108">
        <v>-0.7649999999999999</v>
      </c>
      <c r="AJ21" s="108">
        <v>5.3040000000000003</v>
      </c>
      <c r="AK21" s="108">
        <v>5.9640000000000004</v>
      </c>
      <c r="AL21" s="109">
        <v>11.55</v>
      </c>
      <c r="AM21" s="108">
        <v>-3.0760000000000001</v>
      </c>
      <c r="AN21" s="108">
        <v>0.8580000000000001</v>
      </c>
      <c r="AO21" s="108">
        <v>0.40500000000000003</v>
      </c>
      <c r="AP21" s="108">
        <v>0.10699999999999998</v>
      </c>
      <c r="AQ21" s="109">
        <v>-1.706</v>
      </c>
      <c r="AR21" s="108">
        <v>-7.8890474999999984</v>
      </c>
      <c r="AS21" s="108">
        <v>2.4970474999999981</v>
      </c>
      <c r="AT21" s="108">
        <v>3.1080000000000005</v>
      </c>
      <c r="AU21" s="108">
        <v>-1.355</v>
      </c>
      <c r="AV21" s="109">
        <v>-3.6589999999999998</v>
      </c>
      <c r="AW21" s="108">
        <v>2.1030000000000002</v>
      </c>
      <c r="AX21" s="108">
        <v>4.5180000000000007</v>
      </c>
      <c r="AY21" s="108">
        <v>0.9709999999999992</v>
      </c>
      <c r="AZ21" s="108">
        <v>3.8389999999999995</v>
      </c>
      <c r="BA21" s="109">
        <v>11.430999999999999</v>
      </c>
      <c r="BB21" s="108">
        <v>2.4369999999999998</v>
      </c>
      <c r="BC21" s="108">
        <v>3.6663663690999999</v>
      </c>
      <c r="BD21" s="108">
        <v>1.0706336309000006</v>
      </c>
      <c r="BE21" s="108">
        <v>0.87123999999999979</v>
      </c>
      <c r="BF21" s="171">
        <v>8.0452399999999997</v>
      </c>
      <c r="BG21" s="108">
        <v>4.0430000000000001</v>
      </c>
      <c r="BH21" s="108">
        <v>3.577</v>
      </c>
      <c r="BK21" s="210"/>
    </row>
    <row r="22" spans="1:63" ht="16" x14ac:dyDescent="0.4">
      <c r="A22" s="47" t="s">
        <v>232</v>
      </c>
      <c r="B22" s="47" t="s">
        <v>233</v>
      </c>
      <c r="C22" s="9"/>
      <c r="D22" s="48">
        <v>9.6859999999999999</v>
      </c>
      <c r="E22" s="48">
        <v>12.448113277941106</v>
      </c>
      <c r="F22" s="48">
        <v>12.968871614956305</v>
      </c>
      <c r="G22" s="48">
        <v>14.754894357871985</v>
      </c>
      <c r="H22" s="49">
        <v>49.857879250769393</v>
      </c>
      <c r="I22" s="48">
        <v>7.9470000000000001</v>
      </c>
      <c r="J22" s="48">
        <v>1.2569999999999999</v>
      </c>
      <c r="K22" s="48">
        <v>11.816000000000001</v>
      </c>
      <c r="L22" s="48">
        <v>17.456</v>
      </c>
      <c r="M22" s="49">
        <v>38.475999999999999</v>
      </c>
      <c r="N22" s="48">
        <v>13.741</v>
      </c>
      <c r="O22" s="48">
        <v>17.724</v>
      </c>
      <c r="P22" s="48">
        <v>28.023999999999997</v>
      </c>
      <c r="Q22" s="48">
        <v>32.295999999999999</v>
      </c>
      <c r="R22" s="49">
        <v>91.784999999999997</v>
      </c>
      <c r="S22" s="48">
        <v>29.548999999999999</v>
      </c>
      <c r="T22" s="48">
        <v>20.764000000000035</v>
      </c>
      <c r="U22" s="48">
        <v>41.365999999999978</v>
      </c>
      <c r="V22" s="48">
        <v>37.450999999999972</v>
      </c>
      <c r="W22" s="49">
        <v>129.13</v>
      </c>
      <c r="X22" s="48">
        <v>17.271999999999998</v>
      </c>
      <c r="Y22" s="48">
        <v>7.7032500000000006</v>
      </c>
      <c r="Z22" s="48">
        <v>2.8632499999999865</v>
      </c>
      <c r="AA22" s="48">
        <v>-18.629499999999986</v>
      </c>
      <c r="AB22" s="49">
        <v>9.2089999999999996</v>
      </c>
      <c r="AC22" s="48">
        <v>-11.801</v>
      </c>
      <c r="AD22" s="48">
        <v>-13.569999999999999</v>
      </c>
      <c r="AE22" s="48">
        <v>-16.457000000000004</v>
      </c>
      <c r="AF22" s="48">
        <v>15.396000000000004</v>
      </c>
      <c r="AG22" s="49">
        <v>-26.431999999999999</v>
      </c>
      <c r="AH22" s="48">
        <v>-9.6280000000000001</v>
      </c>
      <c r="AI22" s="48">
        <v>-184.96899999999999</v>
      </c>
      <c r="AJ22" s="48">
        <v>2.1639999999999873</v>
      </c>
      <c r="AK22" s="48">
        <v>2.0240000000000009</v>
      </c>
      <c r="AL22" s="49">
        <v>-190.40899999999999</v>
      </c>
      <c r="AM22" s="48">
        <v>13.138999999999999</v>
      </c>
      <c r="AN22" s="48">
        <v>31.557481000000021</v>
      </c>
      <c r="AO22" s="48">
        <v>22.293518999999979</v>
      </c>
      <c r="AP22" s="48">
        <v>180.23</v>
      </c>
      <c r="AQ22" s="49">
        <v>247.22</v>
      </c>
      <c r="AR22" s="48">
        <v>12.5927025</v>
      </c>
      <c r="AS22" s="48">
        <v>-16.758702499999998</v>
      </c>
      <c r="AT22" s="48">
        <v>-24.036999999999999</v>
      </c>
      <c r="AU22" s="48">
        <v>3.4899999999999998</v>
      </c>
      <c r="AV22" s="49">
        <v>-24.712999999999997</v>
      </c>
      <c r="AW22" s="48">
        <v>3.411</v>
      </c>
      <c r="AX22" s="48">
        <v>23.058999999999997</v>
      </c>
      <c r="AY22" s="48">
        <v>14.320999999999998</v>
      </c>
      <c r="AZ22" s="48">
        <v>-9.2399999999999984</v>
      </c>
      <c r="BA22" s="49">
        <v>31.550999999999998</v>
      </c>
      <c r="BB22" s="48">
        <v>2.42</v>
      </c>
      <c r="BC22" s="48">
        <v>-9.2846262209000336</v>
      </c>
      <c r="BD22" s="48">
        <v>-15.143373779099965</v>
      </c>
      <c r="BE22" s="48">
        <v>-32.44876</v>
      </c>
      <c r="BF22" s="163">
        <v>-54.456760000000003</v>
      </c>
      <c r="BG22" s="48">
        <v>-17.553000000000001</v>
      </c>
      <c r="BH22" s="48">
        <v>0.499</v>
      </c>
      <c r="BK22" s="210"/>
    </row>
    <row r="23" spans="1:63" ht="16" x14ac:dyDescent="0.4">
      <c r="A23" s="132" t="s">
        <v>261</v>
      </c>
      <c r="B23" s="132" t="s">
        <v>262</v>
      </c>
      <c r="C23" s="9"/>
      <c r="D23" s="133">
        <v>3.9330416510166583E-2</v>
      </c>
      <c r="E23" s="133">
        <v>5.0546095394090308E-2</v>
      </c>
      <c r="F23" s="133">
        <v>5.2660656853511068E-2</v>
      </c>
      <c r="G23" s="133">
        <v>5.9912878449164993E-2</v>
      </c>
      <c r="H23" s="134">
        <v>0.20245004720693294</v>
      </c>
      <c r="I23" s="133">
        <v>3.1753388806201238E-2</v>
      </c>
      <c r="J23" s="133">
        <v>5.022525447262483E-3</v>
      </c>
      <c r="K23" s="133">
        <v>4.7212538333216793E-2</v>
      </c>
      <c r="L23" s="133">
        <v>6.9747974707568744E-2</v>
      </c>
      <c r="M23" s="134">
        <v>0.15373642729424927</v>
      </c>
      <c r="N23" s="133">
        <v>5.4904154471625922E-2</v>
      </c>
      <c r="O23" s="133">
        <v>7.1969058664690541E-2</v>
      </c>
      <c r="P23" s="133">
        <v>0.11379264838745698</v>
      </c>
      <c r="Q23" s="133">
        <v>0.13113928676567624</v>
      </c>
      <c r="R23" s="134">
        <v>0.37269691094214741</v>
      </c>
      <c r="S23" s="133">
        <v>0.11998497599204133</v>
      </c>
      <c r="T23" s="133">
        <v>8.4313108446944035E-2</v>
      </c>
      <c r="U23" s="133">
        <v>0.16796840897785981</v>
      </c>
      <c r="V23" s="133">
        <v>0.15207138434051704</v>
      </c>
      <c r="W23" s="134">
        <v>0.52433787775736218</v>
      </c>
      <c r="X23" s="133">
        <v>7.0133693368118644E-2</v>
      </c>
      <c r="Y23" s="133">
        <v>3.1279375488534045E-2</v>
      </c>
      <c r="Z23" s="133">
        <v>1.162634886152529E-2</v>
      </c>
      <c r="AA23" s="133">
        <v>-7.5645880071871549E-2</v>
      </c>
      <c r="AB23" s="134">
        <v>3.739353764630643E-2</v>
      </c>
      <c r="AC23" s="133">
        <v>-4.7918464302754059E-2</v>
      </c>
      <c r="AD23" s="133">
        <v>-5.5101564324071907E-2</v>
      </c>
      <c r="AE23" s="133">
        <v>-6.6824351074521116E-2</v>
      </c>
      <c r="AF23" s="133">
        <v>6.2516115278807016E-2</v>
      </c>
      <c r="AG23" s="134">
        <v>-0.10732826442254007</v>
      </c>
      <c r="AH23" s="133">
        <v>-3.9094905034057804E-2</v>
      </c>
      <c r="AI23" s="133">
        <v>-0.76295517647048938</v>
      </c>
      <c r="AJ23" s="133">
        <v>1.1031778983711549E-2</v>
      </c>
      <c r="AK23" s="133">
        <v>8.319888191225866E-3</v>
      </c>
      <c r="AL23" s="134">
        <v>-0.78269841432960974</v>
      </c>
      <c r="AM23" s="133">
        <v>5.4009392759148685E-2</v>
      </c>
      <c r="AN23" s="133">
        <v>0.12972070825925666</v>
      </c>
      <c r="AO23" s="133">
        <v>9.1640111397712359E-2</v>
      </c>
      <c r="AP23" s="133">
        <v>0.74085644698845954</v>
      </c>
      <c r="AQ23" s="134">
        <v>1.0162266594045772</v>
      </c>
      <c r="AR23" s="133">
        <v>5.1763773135064584E-2</v>
      </c>
      <c r="AS23" s="133">
        <v>-6.8888602287558193E-2</v>
      </c>
      <c r="AT23" s="133">
        <v>-9.880689350419794E-2</v>
      </c>
      <c r="AU23" s="133">
        <v>8.1595741401103705E-3</v>
      </c>
      <c r="AV23" s="134">
        <v>-0.10777214851658119</v>
      </c>
      <c r="AW23" s="133">
        <v>1.4021313547564973E-2</v>
      </c>
      <c r="AX23" s="133">
        <v>9.4786710376224187E-2</v>
      </c>
      <c r="AY23" s="133">
        <v>5.8868141692957482E-2</v>
      </c>
      <c r="AZ23" s="133">
        <v>-3.7982098264292108E-2</v>
      </c>
      <c r="BA23" s="134">
        <v>0.12969406735245453</v>
      </c>
      <c r="BB23" s="133">
        <v>9.9476924025526919E-3</v>
      </c>
      <c r="BC23" s="133">
        <v>-3.8291460767303651E-2</v>
      </c>
      <c r="BD23" s="133">
        <v>-6.2486309011586492E-2</v>
      </c>
      <c r="BE23" s="133">
        <v>-0.13389375934187081</v>
      </c>
      <c r="BF23" s="172">
        <v>-0.2247056688137857</v>
      </c>
      <c r="BG23" s="133">
        <v>-7.2429182431866676E-2</v>
      </c>
      <c r="BH23" s="133">
        <v>2.0590304810289678E-3</v>
      </c>
      <c r="BK23" s="210"/>
    </row>
    <row r="24" spans="1:63" ht="15" thickBot="1" x14ac:dyDescent="0.4">
      <c r="BF24" s="135"/>
    </row>
    <row r="25" spans="1:63" ht="16.5" thickBot="1" x14ac:dyDescent="0.45">
      <c r="A25" s="1" t="s">
        <v>263</v>
      </c>
      <c r="B25" s="92" t="s">
        <v>264</v>
      </c>
      <c r="C25" s="2"/>
      <c r="D25" s="3" t="str">
        <f t="shared" ref="D25:BB25" si="3">D1</f>
        <v>1T15</v>
      </c>
      <c r="E25" s="3" t="str">
        <f t="shared" si="3"/>
        <v>2T15</v>
      </c>
      <c r="F25" s="3" t="str">
        <f t="shared" si="3"/>
        <v>3T15</v>
      </c>
      <c r="G25" s="3" t="str">
        <f t="shared" si="3"/>
        <v>4T15</v>
      </c>
      <c r="H25" s="4">
        <f t="shared" si="3"/>
        <v>2015</v>
      </c>
      <c r="I25" s="3" t="str">
        <f t="shared" si="3"/>
        <v>1T16</v>
      </c>
      <c r="J25" s="3" t="str">
        <f t="shared" si="3"/>
        <v>2T16</v>
      </c>
      <c r="K25" s="3" t="str">
        <f t="shared" si="3"/>
        <v>3T16</v>
      </c>
      <c r="L25" s="3" t="str">
        <f t="shared" si="3"/>
        <v>4T16</v>
      </c>
      <c r="M25" s="4">
        <f t="shared" si="3"/>
        <v>2016</v>
      </c>
      <c r="N25" s="3" t="str">
        <f t="shared" si="3"/>
        <v>1T17</v>
      </c>
      <c r="O25" s="3" t="str">
        <f t="shared" si="3"/>
        <v>2T17</v>
      </c>
      <c r="P25" s="3" t="str">
        <f t="shared" si="3"/>
        <v>3T17</v>
      </c>
      <c r="Q25" s="3" t="str">
        <f t="shared" si="3"/>
        <v>4T17</v>
      </c>
      <c r="R25" s="4">
        <f t="shared" si="3"/>
        <v>2017</v>
      </c>
      <c r="S25" s="3" t="str">
        <f t="shared" si="3"/>
        <v>1T18</v>
      </c>
      <c r="T25" s="3" t="str">
        <f t="shared" si="3"/>
        <v>2T18</v>
      </c>
      <c r="U25" s="3" t="str">
        <f t="shared" si="3"/>
        <v>3T18</v>
      </c>
      <c r="V25" s="3" t="str">
        <f t="shared" si="3"/>
        <v>4T18</v>
      </c>
      <c r="W25" s="4">
        <f t="shared" si="3"/>
        <v>2018</v>
      </c>
      <c r="X25" s="3" t="str">
        <f t="shared" si="3"/>
        <v>1T19</v>
      </c>
      <c r="Y25" s="3" t="str">
        <f t="shared" si="3"/>
        <v>2T19</v>
      </c>
      <c r="Z25" s="3" t="str">
        <f t="shared" si="3"/>
        <v>3T19</v>
      </c>
      <c r="AA25" s="3" t="str">
        <f t="shared" si="3"/>
        <v>4T19</v>
      </c>
      <c r="AB25" s="4">
        <f t="shared" si="3"/>
        <v>2019</v>
      </c>
      <c r="AC25" s="3" t="str">
        <f t="shared" si="3"/>
        <v>1T20</v>
      </c>
      <c r="AD25" s="3" t="str">
        <f t="shared" si="3"/>
        <v>2T20</v>
      </c>
      <c r="AE25" s="3" t="str">
        <f t="shared" si="3"/>
        <v>3T20</v>
      </c>
      <c r="AF25" s="3" t="str">
        <f t="shared" si="3"/>
        <v>4T20</v>
      </c>
      <c r="AG25" s="4">
        <f t="shared" si="3"/>
        <v>2020</v>
      </c>
      <c r="AH25" s="3" t="str">
        <f t="shared" si="3"/>
        <v>1T21</v>
      </c>
      <c r="AI25" s="3" t="str">
        <f t="shared" si="3"/>
        <v>2T21</v>
      </c>
      <c r="AJ25" s="3" t="str">
        <f t="shared" si="3"/>
        <v>3T21</v>
      </c>
      <c r="AK25" s="3" t="str">
        <f t="shared" si="3"/>
        <v>4T21</v>
      </c>
      <c r="AL25" s="4">
        <f t="shared" si="3"/>
        <v>2021</v>
      </c>
      <c r="AM25" s="3" t="str">
        <f t="shared" si="3"/>
        <v>1T22</v>
      </c>
      <c r="AN25" s="3" t="str">
        <f t="shared" si="3"/>
        <v>2T22</v>
      </c>
      <c r="AO25" s="3" t="str">
        <f t="shared" si="3"/>
        <v>3T22</v>
      </c>
      <c r="AP25" s="3" t="str">
        <f t="shared" si="3"/>
        <v>4T22</v>
      </c>
      <c r="AQ25" s="4">
        <f t="shared" si="3"/>
        <v>2022</v>
      </c>
      <c r="AR25" s="3" t="str">
        <f t="shared" si="3"/>
        <v>1T23</v>
      </c>
      <c r="AS25" s="3" t="str">
        <f t="shared" si="3"/>
        <v>2T23</v>
      </c>
      <c r="AT25" s="3" t="str">
        <f t="shared" si="3"/>
        <v>3T23</v>
      </c>
      <c r="AU25" s="3" t="s">
        <v>37</v>
      </c>
      <c r="AV25" s="4">
        <v>2023</v>
      </c>
      <c r="AW25" s="3" t="str">
        <f t="shared" si="3"/>
        <v>1T24</v>
      </c>
      <c r="AX25" s="3" t="str">
        <f t="shared" si="3"/>
        <v>2T24</v>
      </c>
      <c r="AY25" s="3" t="str">
        <f t="shared" si="3"/>
        <v>3T24</v>
      </c>
      <c r="AZ25" s="3" t="str">
        <f t="shared" si="3"/>
        <v>4T24</v>
      </c>
      <c r="BA25" s="4">
        <f t="shared" si="3"/>
        <v>2024</v>
      </c>
      <c r="BB25" s="3" t="str">
        <f t="shared" si="3"/>
        <v>1T25</v>
      </c>
      <c r="BC25" s="3" t="s">
        <v>383</v>
      </c>
      <c r="BD25" s="3" t="s">
        <v>384</v>
      </c>
      <c r="BE25" s="3" t="s">
        <v>385</v>
      </c>
      <c r="BF25" s="4">
        <v>2025</v>
      </c>
      <c r="BG25" s="3" t="s">
        <v>386</v>
      </c>
      <c r="BH25" s="3" t="s">
        <v>387</v>
      </c>
    </row>
    <row r="26" spans="1:63" ht="16" x14ac:dyDescent="0.4">
      <c r="A26" s="128" t="s">
        <v>265</v>
      </c>
      <c r="B26" s="128" t="s">
        <v>266</v>
      </c>
      <c r="C26" s="21"/>
      <c r="D26" s="129">
        <v>13.093999999999999</v>
      </c>
      <c r="E26" s="129">
        <v>17.831000000000003</v>
      </c>
      <c r="F26" s="129">
        <v>17.283999999999999</v>
      </c>
      <c r="G26" s="129">
        <v>18.82951950566067</v>
      </c>
      <c r="H26" s="136">
        <v>67.038519505660673</v>
      </c>
      <c r="I26" s="129">
        <v>18.811695344304866</v>
      </c>
      <c r="J26" s="129">
        <v>-3.338695344304865</v>
      </c>
      <c r="K26" s="129">
        <v>16.366094094995425</v>
      </c>
      <c r="L26" s="129">
        <v>19.256667017085405</v>
      </c>
      <c r="M26" s="136">
        <v>51.095761112080829</v>
      </c>
      <c r="N26" s="129">
        <v>18.9714884375</v>
      </c>
      <c r="O26" s="129">
        <v>24.209511562499998</v>
      </c>
      <c r="P26" s="129">
        <v>37.289000000000001</v>
      </c>
      <c r="Q26" s="129">
        <v>39.400999999999996</v>
      </c>
      <c r="R26" s="136">
        <v>119.871</v>
      </c>
      <c r="S26" s="129">
        <v>40.125999999999998</v>
      </c>
      <c r="T26" s="129">
        <v>29.071999999999996</v>
      </c>
      <c r="U26" s="129">
        <v>56.450931558733011</v>
      </c>
      <c r="V26" s="129">
        <v>47.58096989435591</v>
      </c>
      <c r="W26" s="136">
        <v>173.22990145308893</v>
      </c>
      <c r="X26" s="129">
        <v>23.744866430784022</v>
      </c>
      <c r="Y26" s="129">
        <v>10.812909654434016</v>
      </c>
      <c r="Z26" s="129">
        <v>4.6891799180749061</v>
      </c>
      <c r="AA26" s="129">
        <v>-28.144459416850033</v>
      </c>
      <c r="AB26" s="136">
        <v>11.102496586442911</v>
      </c>
      <c r="AC26" s="129">
        <v>-15.70761229394798</v>
      </c>
      <c r="AD26" s="129">
        <v>-17.63740677663403</v>
      </c>
      <c r="AE26" s="129">
        <v>-21.38612607644788</v>
      </c>
      <c r="AF26" s="129">
        <v>18.074145147029895</v>
      </c>
      <c r="AG26" s="136">
        <v>-36.656999999999996</v>
      </c>
      <c r="AH26" s="129">
        <v>-14.038386844040023</v>
      </c>
      <c r="AI26" s="129">
        <v>-171.27761315595998</v>
      </c>
      <c r="AJ26" s="129">
        <v>-1.8069999999999879</v>
      </c>
      <c r="AK26" s="129">
        <f>AL26-AH26-AI26-AJ26</f>
        <v>-5.4159999999999968</v>
      </c>
      <c r="AL26" s="136">
        <v>-192.53899999999999</v>
      </c>
      <c r="AM26" s="129">
        <v>19.847000000000001</v>
      </c>
      <c r="AN26" s="129">
        <v>35.803307999999987</v>
      </c>
      <c r="AO26" s="129">
        <v>25.646692000000009</v>
      </c>
      <c r="AP26" s="129">
        <f t="shared" ref="AP26:AP44" si="4">AQ26-AM26-AN26-AO26</f>
        <v>172.29300000000001</v>
      </c>
      <c r="AQ26" s="136">
        <v>253.59</v>
      </c>
      <c r="AR26" s="129">
        <f>AR18</f>
        <v>23.096999999999998</v>
      </c>
      <c r="AS26" s="129">
        <v>-25.894999999999996</v>
      </c>
      <c r="AT26" s="129">
        <v>-35.668999999999997</v>
      </c>
      <c r="AU26" s="129">
        <v>5.2950000000000017</v>
      </c>
      <c r="AV26" s="136">
        <v>-33.171999999999997</v>
      </c>
      <c r="AW26" s="129">
        <v>1.601</v>
      </c>
      <c r="AX26" s="129">
        <v>28.262</v>
      </c>
      <c r="AY26" s="129">
        <v>16.828000000000003</v>
      </c>
      <c r="AZ26" s="129">
        <v>-14.342000000000006</v>
      </c>
      <c r="BA26" s="136">
        <v>32.348999999999997</v>
      </c>
      <c r="BB26" s="129">
        <v>1.8260000000000001</v>
      </c>
      <c r="BC26" s="129">
        <v>-15.144992590000033</v>
      </c>
      <c r="BD26" s="129">
        <v>-20.159007409999965</v>
      </c>
      <c r="BE26" s="129">
        <v>-48.445</v>
      </c>
      <c r="BF26" s="173">
        <v>-81.918000000000006</v>
      </c>
      <c r="BG26" s="129">
        <v>-25.687999999999999</v>
      </c>
      <c r="BH26" s="129">
        <v>-2.0049999999999999</v>
      </c>
      <c r="BK26" s="210"/>
    </row>
    <row r="27" spans="1:63" ht="16" x14ac:dyDescent="0.4">
      <c r="A27" s="5" t="s">
        <v>267</v>
      </c>
      <c r="B27" s="5" t="s">
        <v>268</v>
      </c>
      <c r="C27" s="5"/>
      <c r="D27" s="6">
        <v>28.552</v>
      </c>
      <c r="E27" s="6">
        <v>3.2839999999999989</v>
      </c>
      <c r="F27" s="6">
        <v>17.634</v>
      </c>
      <c r="G27" s="6">
        <v>17.692000000000007</v>
      </c>
      <c r="H27" s="7">
        <v>67.162000000000006</v>
      </c>
      <c r="I27" s="6">
        <v>15.42163968</v>
      </c>
      <c r="J27" s="6">
        <v>14.347360319999998</v>
      </c>
      <c r="K27" s="6">
        <v>29.379000000000005</v>
      </c>
      <c r="L27" s="6">
        <v>17.731000000000002</v>
      </c>
      <c r="M27" s="7">
        <v>76.879000000000005</v>
      </c>
      <c r="N27" s="6">
        <v>17.614000000000001</v>
      </c>
      <c r="O27" s="6">
        <v>17.693999999999999</v>
      </c>
      <c r="P27" s="6">
        <v>18.579999999999998</v>
      </c>
      <c r="Q27" s="6">
        <v>21.548999999999999</v>
      </c>
      <c r="R27" s="7">
        <v>75.436999999999998</v>
      </c>
      <c r="S27" s="6">
        <v>19.244</v>
      </c>
      <c r="T27" s="6">
        <v>18.630000000000003</v>
      </c>
      <c r="U27" s="6">
        <v>18.293338149999997</v>
      </c>
      <c r="V27" s="6">
        <v>19.48251973</v>
      </c>
      <c r="W27" s="7">
        <v>75.649857879999999</v>
      </c>
      <c r="X27" s="6">
        <v>22.410661229999999</v>
      </c>
      <c r="Y27" s="6">
        <v>22.392435940000002</v>
      </c>
      <c r="Z27" s="6">
        <v>24.654886539999993</v>
      </c>
      <c r="AA27" s="6">
        <v>22.863176780000018</v>
      </c>
      <c r="AB27" s="7">
        <v>92.321160490000011</v>
      </c>
      <c r="AC27" s="6">
        <v>26.539023570000001</v>
      </c>
      <c r="AD27" s="6">
        <v>27.9358331</v>
      </c>
      <c r="AE27" s="6">
        <v>25.429191289999999</v>
      </c>
      <c r="AF27" s="6">
        <v>27.238632150000008</v>
      </c>
      <c r="AG27" s="7">
        <v>107.14268011</v>
      </c>
      <c r="AH27" s="6">
        <v>25.279643889999999</v>
      </c>
      <c r="AI27" s="6">
        <v>25.532356109999998</v>
      </c>
      <c r="AJ27" s="6">
        <v>21.430999999999994</v>
      </c>
      <c r="AK27" s="6">
        <f t="shared" ref="AK27:AK60" si="5">AL27-AH27-AI27-AJ27</f>
        <v>21.214000000000002</v>
      </c>
      <c r="AL27" s="7">
        <v>93.456999999999994</v>
      </c>
      <c r="AM27" s="6">
        <v>21.004999999999999</v>
      </c>
      <c r="AN27" s="6">
        <v>22.879000000000001</v>
      </c>
      <c r="AO27" s="6">
        <v>27.745999999999999</v>
      </c>
      <c r="AP27" s="6">
        <f t="shared" si="4"/>
        <v>26.731000000000005</v>
      </c>
      <c r="AQ27" s="7">
        <v>98.361000000000004</v>
      </c>
      <c r="AR27" s="6">
        <v>23.957999999999998</v>
      </c>
      <c r="AS27" s="6">
        <v>24.023000000000003</v>
      </c>
      <c r="AT27" s="6">
        <v>26.750999999999998</v>
      </c>
      <c r="AU27" s="6">
        <v>27.156999999999996</v>
      </c>
      <c r="AV27" s="7">
        <v>101.889</v>
      </c>
      <c r="AW27" s="6">
        <v>25.696999999999999</v>
      </c>
      <c r="AX27" s="6">
        <v>24.860000000000003</v>
      </c>
      <c r="AY27" s="6">
        <v>24.566000000000003</v>
      </c>
      <c r="AZ27" s="6">
        <v>25.399999999999991</v>
      </c>
      <c r="BA27" s="7">
        <v>100.523</v>
      </c>
      <c r="BB27" s="6">
        <v>22.82</v>
      </c>
      <c r="BC27" s="6">
        <v>23.999000000000002</v>
      </c>
      <c r="BD27" s="6">
        <v>21.83</v>
      </c>
      <c r="BE27" s="6">
        <v>21.476000000000006</v>
      </c>
      <c r="BF27" s="158">
        <v>90.125</v>
      </c>
      <c r="BG27" s="6">
        <v>20.960999999999999</v>
      </c>
      <c r="BH27" s="6">
        <v>22.981999999999999</v>
      </c>
      <c r="BK27" s="210"/>
    </row>
    <row r="28" spans="1:63" ht="16" x14ac:dyDescent="0.4">
      <c r="A28" s="9" t="s">
        <v>269</v>
      </c>
      <c r="B28" s="9" t="s">
        <v>270</v>
      </c>
      <c r="C28" s="9"/>
      <c r="D28" s="6">
        <v>8.7829999999999995</v>
      </c>
      <c r="E28" s="6">
        <v>-1.617</v>
      </c>
      <c r="F28" s="6">
        <v>2.5360000000000005</v>
      </c>
      <c r="G28" s="6">
        <v>-6.9089999999999998</v>
      </c>
      <c r="H28" s="7">
        <v>2.7930000000000001</v>
      </c>
      <c r="I28" s="6">
        <v>2.2737438000000001</v>
      </c>
      <c r="J28" s="6">
        <v>0.9252562000000002</v>
      </c>
      <c r="K28" s="6">
        <v>1.8619999999999997</v>
      </c>
      <c r="L28" s="6">
        <v>0.680642185960882</v>
      </c>
      <c r="M28" s="7">
        <v>5.7416421859608819</v>
      </c>
      <c r="N28" s="6">
        <v>4.5312926468188923</v>
      </c>
      <c r="O28" s="6">
        <v>-0.41429264681889233</v>
      </c>
      <c r="P28" s="6">
        <v>3.8600000000000003</v>
      </c>
      <c r="Q28" s="6">
        <v>3.6050000000000004</v>
      </c>
      <c r="R28" s="7">
        <v>11.582000000000001</v>
      </c>
      <c r="S28" s="6">
        <v>6.72</v>
      </c>
      <c r="T28" s="6">
        <v>-0.68900000000000006</v>
      </c>
      <c r="U28" s="6">
        <v>8.1226476714641116</v>
      </c>
      <c r="V28" s="6">
        <v>8.7153662592349512</v>
      </c>
      <c r="W28" s="7">
        <v>22.869013930699062</v>
      </c>
      <c r="X28" s="6">
        <v>10.328547705504098</v>
      </c>
      <c r="Y28" s="6">
        <v>-1.050069130585042</v>
      </c>
      <c r="Z28" s="6">
        <v>9.3460575950471387</v>
      </c>
      <c r="AA28" s="6">
        <v>1.2483024776519898</v>
      </c>
      <c r="AB28" s="7">
        <v>19.872838647618185</v>
      </c>
      <c r="AC28" s="6">
        <v>8.1197085344510089</v>
      </c>
      <c r="AD28" s="6">
        <v>8.3822503086841724</v>
      </c>
      <c r="AE28" s="6">
        <v>2.8904585148238375</v>
      </c>
      <c r="AF28" s="6">
        <v>-14.218032383941024</v>
      </c>
      <c r="AG28" s="7">
        <v>5.174384974017995</v>
      </c>
      <c r="AH28" s="6">
        <v>4.0487941799999998</v>
      </c>
      <c r="AI28" s="6">
        <v>-8.5177941799999992</v>
      </c>
      <c r="AJ28" s="6">
        <v>8.234</v>
      </c>
      <c r="AK28" s="6">
        <f t="shared" si="5"/>
        <v>-2.1950000000000003</v>
      </c>
      <c r="AL28" s="7">
        <v>1.57</v>
      </c>
      <c r="AM28" s="6">
        <v>-5.7149999999999999</v>
      </c>
      <c r="AN28" s="6">
        <v>3.8879999999999999</v>
      </c>
      <c r="AO28" s="6">
        <v>4.2039999999999988</v>
      </c>
      <c r="AP28" s="6">
        <f t="shared" si="4"/>
        <v>23.168999999999997</v>
      </c>
      <c r="AQ28" s="7">
        <v>25.545999999999999</v>
      </c>
      <c r="AR28" s="6">
        <v>7.9240000000000004</v>
      </c>
      <c r="AS28" s="6">
        <v>6.7444779186108024</v>
      </c>
      <c r="AT28" s="6">
        <v>3.1578671007405168</v>
      </c>
      <c r="AU28" s="6">
        <v>-9.6113450193513188</v>
      </c>
      <c r="AV28" s="7">
        <v>8.2149999999999999</v>
      </c>
      <c r="AW28" s="6">
        <v>6.734</v>
      </c>
      <c r="AX28" s="6">
        <v>1.5549999999999997</v>
      </c>
      <c r="AY28" s="6">
        <v>0.71600000000000108</v>
      </c>
      <c r="AZ28" s="6">
        <v>4.5129999999999999</v>
      </c>
      <c r="BA28" s="7">
        <v>13.518000000000001</v>
      </c>
      <c r="BB28" s="6">
        <v>-3.0859999999999999</v>
      </c>
      <c r="BC28" s="6">
        <v>5.0990000000000002</v>
      </c>
      <c r="BD28" s="6">
        <v>1.8679999999999994</v>
      </c>
      <c r="BE28" s="6">
        <v>40.633000000000003</v>
      </c>
      <c r="BF28" s="158">
        <v>44.514000000000003</v>
      </c>
      <c r="BG28" s="6">
        <v>-5.6849999999999996</v>
      </c>
      <c r="BH28" s="6">
        <v>0.52999999999999936</v>
      </c>
      <c r="BK28" s="210"/>
    </row>
    <row r="29" spans="1:63" ht="16" x14ac:dyDescent="0.4">
      <c r="A29" s="17" t="s">
        <v>271</v>
      </c>
      <c r="B29" s="17" t="s">
        <v>272</v>
      </c>
      <c r="C29" s="17"/>
      <c r="D29" s="6">
        <v>-12.371</v>
      </c>
      <c r="E29" s="6">
        <v>11.978</v>
      </c>
      <c r="F29" s="6">
        <v>-2.3219999999999992</v>
      </c>
      <c r="G29" s="6">
        <v>-6.2750000000000004</v>
      </c>
      <c r="H29" s="7">
        <v>-8.99</v>
      </c>
      <c r="I29" s="6">
        <v>7.5380199999999717E-2</v>
      </c>
      <c r="J29" s="6">
        <v>-0.37738019999999972</v>
      </c>
      <c r="K29" s="6">
        <v>-19.312164060000004</v>
      </c>
      <c r="L29" s="6">
        <v>-4.4110343900000011</v>
      </c>
      <c r="M29" s="7">
        <v>-24.025198450000005</v>
      </c>
      <c r="N29" s="6">
        <v>-1.7859976</v>
      </c>
      <c r="O29" s="6">
        <v>-2.0830024000000003</v>
      </c>
      <c r="P29" s="6">
        <v>-1.5169999999999999</v>
      </c>
      <c r="Q29" s="6">
        <v>-3.3459999999999992</v>
      </c>
      <c r="R29" s="7">
        <v>-8.7319999999999993</v>
      </c>
      <c r="S29" s="6">
        <v>-2.3290000000000002</v>
      </c>
      <c r="T29" s="6">
        <v>-1.6949999999999998</v>
      </c>
      <c r="U29" s="6">
        <v>-1.0789999999999997</v>
      </c>
      <c r="V29" s="6">
        <v>-4.6249999999999991</v>
      </c>
      <c r="W29" s="7">
        <v>-9.7279999999999998</v>
      </c>
      <c r="X29" s="6">
        <v>-0.63600000000000001</v>
      </c>
      <c r="Y29" s="6">
        <v>-0.96400000000000008</v>
      </c>
      <c r="Z29" s="6">
        <v>-0.41100000000000003</v>
      </c>
      <c r="AA29" s="6">
        <v>0.14300000000000002</v>
      </c>
      <c r="AB29" s="7">
        <v>-1.8680000000000001</v>
      </c>
      <c r="AC29" s="6">
        <v>-0.56100000000000005</v>
      </c>
      <c r="AD29" s="6">
        <v>-2.5999999999999912E-2</v>
      </c>
      <c r="AE29" s="6">
        <v>-5.0000000000000044E-2</v>
      </c>
      <c r="AF29" s="6">
        <v>-30.818999999999999</v>
      </c>
      <c r="AG29" s="7">
        <v>-31.456</v>
      </c>
      <c r="AH29" s="6">
        <v>4.3999999999999997E-2</v>
      </c>
      <c r="AI29" s="6">
        <v>189.64099999999999</v>
      </c>
      <c r="AJ29" s="6">
        <v>1.6690000000000111</v>
      </c>
      <c r="AK29" s="6">
        <f t="shared" si="5"/>
        <v>2.1449999999999818</v>
      </c>
      <c r="AL29" s="7">
        <v>193.499</v>
      </c>
      <c r="AM29" s="6">
        <v>0.7420628800000002</v>
      </c>
      <c r="AN29" s="6">
        <v>36.579018920000003</v>
      </c>
      <c r="AO29" s="6">
        <v>1.6682206599999958</v>
      </c>
      <c r="AP29" s="6">
        <f t="shared" si="4"/>
        <v>-182.99652079000001</v>
      </c>
      <c r="AQ29" s="7">
        <v>-144.00721833</v>
      </c>
      <c r="AR29" s="6">
        <v>0.22379573</v>
      </c>
      <c r="AS29" s="6">
        <v>8.2204269999999996E-2</v>
      </c>
      <c r="AT29" s="6">
        <v>0.22698138999999992</v>
      </c>
      <c r="AU29" s="6">
        <v>-8.1519813899999995</v>
      </c>
      <c r="AV29" s="7">
        <v>-7.6189999999999998</v>
      </c>
      <c r="AW29" s="6">
        <v>0.34699999999999998</v>
      </c>
      <c r="AX29" s="6">
        <v>-0.754</v>
      </c>
      <c r="AY29" s="6">
        <v>0.17700000000000002</v>
      </c>
      <c r="AZ29" s="6">
        <v>0.41100000000000003</v>
      </c>
      <c r="BA29" s="7">
        <v>0.18099999999999999</v>
      </c>
      <c r="BB29" s="6">
        <v>0.46400000000000002</v>
      </c>
      <c r="BC29" s="6">
        <v>6.6007410000000058E-2</v>
      </c>
      <c r="BD29" s="6">
        <v>-7.900741000000007E-2</v>
      </c>
      <c r="BE29" s="6">
        <v>0.46200000000000002</v>
      </c>
      <c r="BF29" s="158">
        <v>0.91300000000000003</v>
      </c>
      <c r="BG29" s="6">
        <v>-0.29899999999999999</v>
      </c>
      <c r="BH29" s="6">
        <v>7.0000000000000062E-3</v>
      </c>
      <c r="BK29" s="210"/>
    </row>
    <row r="30" spans="1:63" ht="16" x14ac:dyDescent="0.4">
      <c r="A30" s="9" t="s">
        <v>273</v>
      </c>
      <c r="B30" s="9" t="s">
        <v>274</v>
      </c>
      <c r="C30" s="9"/>
      <c r="D30" s="6">
        <v>5.3420000000000005</v>
      </c>
      <c r="E30" s="6">
        <v>9.3680000000000003</v>
      </c>
      <c r="F30" s="6">
        <v>20.933999999999997</v>
      </c>
      <c r="G30" s="6">
        <v>30.925999999999995</v>
      </c>
      <c r="H30" s="7">
        <v>66.569999999999993</v>
      </c>
      <c r="I30" s="6">
        <v>-1.2450000000000001</v>
      </c>
      <c r="J30" s="6">
        <v>9.4430000000000014</v>
      </c>
      <c r="K30" s="6">
        <v>3.7629999999999981</v>
      </c>
      <c r="L30" s="6">
        <v>9.5910000000000011</v>
      </c>
      <c r="M30" s="7">
        <v>21.552</v>
      </c>
      <c r="N30" s="6">
        <v>6.177999999999999</v>
      </c>
      <c r="O30" s="6">
        <v>6.2420000000000009</v>
      </c>
      <c r="P30" s="6">
        <v>5.15</v>
      </c>
      <c r="Q30" s="6">
        <v>11.259999999999998</v>
      </c>
      <c r="R30" s="7">
        <v>28.83</v>
      </c>
      <c r="S30" s="6">
        <v>5.5940000000000003</v>
      </c>
      <c r="T30" s="6">
        <v>22.57880303</v>
      </c>
      <c r="U30" s="6">
        <v>3.3697520300000043</v>
      </c>
      <c r="V30" s="6">
        <v>5.2432598999999982</v>
      </c>
      <c r="W30" s="7">
        <v>36.785814960000003</v>
      </c>
      <c r="X30" s="6">
        <f>5.57459076</f>
        <v>5.5745907600000004</v>
      </c>
      <c r="Y30" s="6">
        <v>6.67860371</v>
      </c>
      <c r="Z30" s="6">
        <v>4.6093802329926028</v>
      </c>
      <c r="AA30" s="6">
        <v>4.4337058290505986</v>
      </c>
      <c r="AB30" s="7">
        <v>21.296280532043202</v>
      </c>
      <c r="AC30" s="6">
        <v>5.5094702588694</v>
      </c>
      <c r="AD30" s="6">
        <v>7.3641426585531002</v>
      </c>
      <c r="AE30" s="6">
        <v>7.756004654727997</v>
      </c>
      <c r="AF30" s="6">
        <v>8.5517161269295077</v>
      </c>
      <c r="AG30" s="7">
        <v>29.181333699080003</v>
      </c>
      <c r="AH30" s="6">
        <v>4.1873487805977998</v>
      </c>
      <c r="AI30" s="6">
        <v>4.6746512194022003</v>
      </c>
      <c r="AJ30" s="6">
        <v>6.1720000000000006</v>
      </c>
      <c r="AK30" s="6">
        <f t="shared" si="5"/>
        <v>2.9670000000000005</v>
      </c>
      <c r="AL30" s="7">
        <v>18.001000000000001</v>
      </c>
      <c r="AM30" s="6">
        <v>5.0309999999999997</v>
      </c>
      <c r="AN30" s="6">
        <v>6.7169999999999996</v>
      </c>
      <c r="AO30" s="6">
        <v>4.8270000000000008</v>
      </c>
      <c r="AP30" s="6">
        <f t="shared" si="4"/>
        <v>8.0680000000000014</v>
      </c>
      <c r="AQ30" s="7">
        <v>24.643000000000001</v>
      </c>
      <c r="AR30" s="6">
        <v>5.3339999999999996</v>
      </c>
      <c r="AS30" s="6">
        <v>7.5660000000000007</v>
      </c>
      <c r="AT30" s="6">
        <v>7.4090000000000007</v>
      </c>
      <c r="AU30" s="6">
        <v>10.175000000000002</v>
      </c>
      <c r="AV30" s="7">
        <v>30.484000000000002</v>
      </c>
      <c r="AW30" s="6">
        <v>7.734</v>
      </c>
      <c r="AX30" s="6">
        <v>7.6809999999999992</v>
      </c>
      <c r="AY30" s="6">
        <v>8.6069999999999993</v>
      </c>
      <c r="AZ30" s="6">
        <v>7.35</v>
      </c>
      <c r="BA30" s="7">
        <v>31.372</v>
      </c>
      <c r="BB30" s="6">
        <v>9.391</v>
      </c>
      <c r="BC30" s="6">
        <v>12.282999999999999</v>
      </c>
      <c r="BD30" s="6">
        <v>8.802999999999999</v>
      </c>
      <c r="BE30" s="6">
        <v>11.362</v>
      </c>
      <c r="BF30" s="158">
        <v>41.838999999999999</v>
      </c>
      <c r="BG30" s="6">
        <v>8.375</v>
      </c>
      <c r="BH30" s="6">
        <v>5.2230000000000008</v>
      </c>
      <c r="BK30" s="210"/>
    </row>
    <row r="31" spans="1:63" ht="16" x14ac:dyDescent="0.4">
      <c r="A31" s="9" t="s">
        <v>275</v>
      </c>
      <c r="B31" s="9" t="s">
        <v>276</v>
      </c>
      <c r="C31" s="9"/>
      <c r="D31" s="6"/>
      <c r="E31" s="6"/>
      <c r="F31" s="6"/>
      <c r="G31" s="6"/>
      <c r="H31" s="7"/>
      <c r="I31" s="6"/>
      <c r="J31" s="6"/>
      <c r="K31" s="6"/>
      <c r="L31" s="6"/>
      <c r="M31" s="7"/>
      <c r="N31" s="6"/>
      <c r="O31" s="6"/>
      <c r="P31" s="6"/>
      <c r="Q31" s="6"/>
      <c r="R31" s="7"/>
      <c r="S31" s="6"/>
      <c r="T31" s="6"/>
      <c r="U31" s="6">
        <v>5.0940000000000003</v>
      </c>
      <c r="V31" s="6">
        <v>5.7270000000000003</v>
      </c>
      <c r="W31" s="7">
        <v>10.821</v>
      </c>
      <c r="X31" s="6">
        <v>2.3820000000000001</v>
      </c>
      <c r="Y31" s="6">
        <v>0.49099999999999999</v>
      </c>
      <c r="Z31" s="6">
        <v>6.0999999999999999E-2</v>
      </c>
      <c r="AA31" s="6">
        <v>5.6429999999999998</v>
      </c>
      <c r="AB31" s="7">
        <v>8.577</v>
      </c>
      <c r="AC31" s="6">
        <v>-6.4176395572888909</v>
      </c>
      <c r="AD31" s="6">
        <v>-15.643874072156493</v>
      </c>
      <c r="AE31" s="6">
        <v>-9.3701163443788396</v>
      </c>
      <c r="AF31" s="6">
        <v>-4.738157539039257</v>
      </c>
      <c r="AG31" s="7">
        <v>-36.169787512863479</v>
      </c>
      <c r="AH31" s="6">
        <v>-3.4049999999999998</v>
      </c>
      <c r="AI31" s="6">
        <v>4.5649999999999995</v>
      </c>
      <c r="AJ31" s="6">
        <v>27.771000000000001</v>
      </c>
      <c r="AK31" s="6">
        <f t="shared" si="5"/>
        <v>60.186999999999998</v>
      </c>
      <c r="AL31" s="7">
        <v>89.117999999999995</v>
      </c>
      <c r="AM31" s="6">
        <v>40.264000000000003</v>
      </c>
      <c r="AN31" s="6">
        <v>-13.766000000000002</v>
      </c>
      <c r="AO31" s="6">
        <v>6.852999999999998</v>
      </c>
      <c r="AP31" s="6">
        <f t="shared" si="4"/>
        <v>-8.4009999999999998</v>
      </c>
      <c r="AQ31" s="7">
        <v>24.95</v>
      </c>
      <c r="AR31" s="6">
        <f>AR33-AR27-AR28-AR29-AR30-AR32</f>
        <v>-5.8304124769596397</v>
      </c>
      <c r="AS31" s="6">
        <v>-4.7262136930403562</v>
      </c>
      <c r="AT31" s="6">
        <v>-2.2180368399999963</v>
      </c>
      <c r="AU31" s="6">
        <v>-21.187336990000009</v>
      </c>
      <c r="AV31" s="7">
        <v>-33.962000000000003</v>
      </c>
      <c r="AW31" s="6">
        <v>-7.056</v>
      </c>
      <c r="AX31" s="6">
        <v>9.0775801099999995</v>
      </c>
      <c r="AY31" s="6">
        <v>-1.8505707300000032</v>
      </c>
      <c r="AZ31" s="6">
        <v>-1.8505707299999965</v>
      </c>
      <c r="BA31" s="7">
        <v>-1.6795613500000002</v>
      </c>
      <c r="BB31" s="6">
        <v>-2.0335069199999998</v>
      </c>
      <c r="BC31" s="6">
        <v>-2.0330138400000006</v>
      </c>
      <c r="BD31" s="6">
        <v>-2.0335069199999989</v>
      </c>
      <c r="BE31" s="6">
        <v>-3.0305216300000017</v>
      </c>
      <c r="BF31" s="158">
        <v>-9.130549310000001</v>
      </c>
      <c r="BG31" s="6">
        <v>-1.0700520099999999</v>
      </c>
      <c r="BH31" s="6">
        <v>-1.2679341099999997</v>
      </c>
      <c r="BK31" s="210"/>
    </row>
    <row r="32" spans="1:63" ht="16" x14ac:dyDescent="0.4">
      <c r="A32" s="9" t="s">
        <v>277</v>
      </c>
      <c r="B32" s="9" t="s">
        <v>278</v>
      </c>
      <c r="C32" s="9"/>
      <c r="D32" s="6">
        <v>-0.36799999999999999</v>
      </c>
      <c r="E32" s="6">
        <v>-0.58099999999999996</v>
      </c>
      <c r="F32" s="6">
        <v>-0.36199999999999999</v>
      </c>
      <c r="G32" s="6">
        <v>-0.67099999999999993</v>
      </c>
      <c r="H32" s="7">
        <v>-1.982</v>
      </c>
      <c r="I32" s="6">
        <v>-0.39</v>
      </c>
      <c r="J32" s="6">
        <v>-0.39500000000000002</v>
      </c>
      <c r="K32" s="6">
        <v>-0.46999999999999986</v>
      </c>
      <c r="L32" s="6">
        <v>-0.44600000000000006</v>
      </c>
      <c r="M32" s="7">
        <v>-1.7010000000000001</v>
      </c>
      <c r="N32" s="6">
        <v>-0.34</v>
      </c>
      <c r="O32" s="6">
        <v>-0.33300000000000002</v>
      </c>
      <c r="P32" s="6">
        <v>-0.31899999999999995</v>
      </c>
      <c r="Q32" s="6">
        <v>-0.36099999999999999</v>
      </c>
      <c r="R32" s="7">
        <v>-1.353</v>
      </c>
      <c r="S32" s="6">
        <v>-0.307</v>
      </c>
      <c r="T32" s="6">
        <v>-0.28899999999999998</v>
      </c>
      <c r="U32" s="6">
        <v>-0.32500000000000012</v>
      </c>
      <c r="V32" s="6">
        <v>-0.44100000000000011</v>
      </c>
      <c r="W32" s="7">
        <v>-1.3620000000000001</v>
      </c>
      <c r="X32" s="6">
        <v>-0.30299999999999999</v>
      </c>
      <c r="Y32" s="6">
        <v>-0.32300000000000001</v>
      </c>
      <c r="Z32" s="6">
        <v>-0.33881995999999992</v>
      </c>
      <c r="AA32" s="6">
        <v>-0.40420497000000044</v>
      </c>
      <c r="AB32" s="7">
        <v>-1.3690249300000004</v>
      </c>
      <c r="AC32" s="6">
        <v>-0.30530386999999998</v>
      </c>
      <c r="AD32" s="6">
        <v>-0.33480602000000009</v>
      </c>
      <c r="AE32" s="6">
        <v>-0.29515013000000001</v>
      </c>
      <c r="AF32" s="6">
        <v>-0.31203626000000007</v>
      </c>
      <c r="AG32" s="7">
        <v>-1.24729628</v>
      </c>
      <c r="AH32" s="6">
        <v>-0.30618321000000004</v>
      </c>
      <c r="AI32" s="6">
        <v>-0.30981678999999995</v>
      </c>
      <c r="AJ32" s="6">
        <v>-0.11399999999999999</v>
      </c>
      <c r="AK32" s="6">
        <f t="shared" si="5"/>
        <v>-0.16800000000000004</v>
      </c>
      <c r="AL32" s="7">
        <v>-0.89800000000000002</v>
      </c>
      <c r="AM32" s="6">
        <v>-0.157</v>
      </c>
      <c r="AN32" s="6">
        <v>-0.16800000000000001</v>
      </c>
      <c r="AO32" s="6">
        <v>-0.17099999999999996</v>
      </c>
      <c r="AP32" s="6">
        <f t="shared" si="4"/>
        <v>-0.17200000000000001</v>
      </c>
      <c r="AQ32" s="7">
        <v>-0.66800000000000004</v>
      </c>
      <c r="AR32" s="6">
        <v>-0.18099999999999999</v>
      </c>
      <c r="AS32" s="6">
        <v>-0.28200000000000003</v>
      </c>
      <c r="AT32" s="6">
        <v>-0.28102383000000009</v>
      </c>
      <c r="AU32" s="6">
        <v>-0.28097616999999975</v>
      </c>
      <c r="AV32" s="7">
        <v>-1.0249999999999999</v>
      </c>
      <c r="AW32" s="6">
        <v>-0.28100000000000003</v>
      </c>
      <c r="AX32" s="6">
        <v>-0.28299999999999992</v>
      </c>
      <c r="AY32" s="6">
        <v>-0.28100000000000003</v>
      </c>
      <c r="AZ32" s="6">
        <v>-0.22799999999999998</v>
      </c>
      <c r="BA32" s="7">
        <v>-1.073</v>
      </c>
      <c r="BB32" s="6">
        <v>-0.17799999999999999</v>
      </c>
      <c r="BC32" s="6">
        <v>-0.16999999999999998</v>
      </c>
      <c r="BD32" s="6">
        <v>-0.43200000000000011</v>
      </c>
      <c r="BE32" s="6">
        <v>-0.15899999999999986</v>
      </c>
      <c r="BF32" s="158">
        <v>-0.93899999999999995</v>
      </c>
      <c r="BG32" s="6">
        <v>-0.161</v>
      </c>
      <c r="BH32" s="6">
        <v>-0.20099999999999998</v>
      </c>
      <c r="BK32" s="210"/>
    </row>
    <row r="33" spans="1:63" ht="16" x14ac:dyDescent="0.4">
      <c r="A33" s="58" t="s">
        <v>279</v>
      </c>
      <c r="B33" s="58" t="s">
        <v>280</v>
      </c>
      <c r="C33" s="21"/>
      <c r="D33" s="59">
        <v>29.937999999999999</v>
      </c>
      <c r="E33" s="59">
        <v>22.431999999999999</v>
      </c>
      <c r="F33" s="59">
        <v>38.419999999999987</v>
      </c>
      <c r="G33" s="59">
        <v>34.763000000000005</v>
      </c>
      <c r="H33" s="111">
        <f t="shared" ref="H33:W33" si="6">SUM(H27:H32)</f>
        <v>125.553</v>
      </c>
      <c r="I33" s="59">
        <f t="shared" si="6"/>
        <v>16.13576368</v>
      </c>
      <c r="J33" s="59">
        <f t="shared" si="6"/>
        <v>23.94323632</v>
      </c>
      <c r="K33" s="59">
        <f t="shared" si="6"/>
        <v>15.221835939999997</v>
      </c>
      <c r="L33" s="59">
        <f t="shared" si="6"/>
        <v>23.145607795960881</v>
      </c>
      <c r="M33" s="111">
        <f t="shared" si="6"/>
        <v>78.446443735960884</v>
      </c>
      <c r="N33" s="59">
        <f t="shared" si="6"/>
        <v>26.197295046818891</v>
      </c>
      <c r="O33" s="59">
        <f t="shared" si="6"/>
        <v>21.10570495318111</v>
      </c>
      <c r="P33" s="59">
        <f t="shared" si="6"/>
        <v>25.754000000000001</v>
      </c>
      <c r="Q33" s="59">
        <f t="shared" si="6"/>
        <v>32.707000000000001</v>
      </c>
      <c r="R33" s="111">
        <f t="shared" si="6"/>
        <v>105.76400000000001</v>
      </c>
      <c r="S33" s="59">
        <f t="shared" si="6"/>
        <v>28.922000000000001</v>
      </c>
      <c r="T33" s="59">
        <f t="shared" si="6"/>
        <v>38.535803029999997</v>
      </c>
      <c r="U33" s="59">
        <f t="shared" si="6"/>
        <v>33.47573785146411</v>
      </c>
      <c r="V33" s="59">
        <f t="shared" si="6"/>
        <v>34.102145889234947</v>
      </c>
      <c r="W33" s="111">
        <f t="shared" si="6"/>
        <v>135.03568677069907</v>
      </c>
      <c r="X33" s="59">
        <f>SUM(X27:X32)</f>
        <v>39.756799695504093</v>
      </c>
      <c r="Y33" s="59">
        <f>SUM(Y27:Y32)</f>
        <v>27.224970519414963</v>
      </c>
      <c r="Z33" s="59">
        <f>SUM(Z27:Z32)</f>
        <v>37.921504408039738</v>
      </c>
      <c r="AA33" s="59">
        <f>SUM(AA27:AA32)</f>
        <v>33.926980116702602</v>
      </c>
      <c r="AB33" s="111">
        <f>SUM(AB27:AB32)</f>
        <v>138.8302547396614</v>
      </c>
      <c r="AC33" s="59">
        <v>32.884258936031522</v>
      </c>
      <c r="AD33" s="59">
        <v>27.677545975080776</v>
      </c>
      <c r="AE33" s="59">
        <v>26.360387985172999</v>
      </c>
      <c r="AF33" s="59">
        <v>-14.296877906050781</v>
      </c>
      <c r="AG33" s="111">
        <v>72.625314990234514</v>
      </c>
      <c r="AH33" s="59">
        <v>29.848603640597794</v>
      </c>
      <c r="AI33" s="59">
        <v>215.58539635940218</v>
      </c>
      <c r="AJ33" s="59">
        <v>65.163000000000011</v>
      </c>
      <c r="AK33" s="59">
        <f t="shared" si="5"/>
        <v>84.14999999999992</v>
      </c>
      <c r="AL33" s="111">
        <v>394.7469999999999</v>
      </c>
      <c r="AM33" s="59">
        <v>61.170062880000003</v>
      </c>
      <c r="AN33" s="59">
        <v>56.129018920000007</v>
      </c>
      <c r="AO33" s="59">
        <v>45.127220659999949</v>
      </c>
      <c r="AP33" s="59">
        <f t="shared" si="4"/>
        <v>-133.60152078999994</v>
      </c>
      <c r="AQ33" s="111">
        <v>28.824781670000011</v>
      </c>
      <c r="AR33" s="59">
        <f>-4.37161674695964+35.8</f>
        <v>31.428383253040359</v>
      </c>
      <c r="AS33" s="59">
        <v>33.407468495570448</v>
      </c>
      <c r="AT33" s="59">
        <v>35.045787820740507</v>
      </c>
      <c r="AU33" s="59">
        <v>-1.8996395693513364</v>
      </c>
      <c r="AV33" s="111">
        <v>97.981999999999985</v>
      </c>
      <c r="AW33" s="59">
        <v>33.174999999999997</v>
      </c>
      <c r="AX33" s="59">
        <v>42.136580110000025</v>
      </c>
      <c r="AY33" s="59">
        <v>31.934429269999967</v>
      </c>
      <c r="AZ33" s="59">
        <v>35.595429269999997</v>
      </c>
      <c r="BA33" s="111">
        <v>142.84143864999999</v>
      </c>
      <c r="BB33" s="59">
        <v>27.377493079999997</v>
      </c>
      <c r="BC33" s="59">
        <v>39.065499510000009</v>
      </c>
      <c r="BD33" s="59">
        <v>30.134486649999999</v>
      </c>
      <c r="BE33" s="59">
        <v>70.743971450000032</v>
      </c>
      <c r="BF33" s="167">
        <v>167.32145069000003</v>
      </c>
      <c r="BG33" s="59">
        <v>22.120947989999998</v>
      </c>
      <c r="BH33" s="59">
        <v>27.273065890000005</v>
      </c>
      <c r="BK33" s="210"/>
    </row>
    <row r="34" spans="1:63" ht="16" x14ac:dyDescent="0.4">
      <c r="A34" s="17" t="s">
        <v>281</v>
      </c>
      <c r="B34" s="17" t="s">
        <v>282</v>
      </c>
      <c r="C34" s="17"/>
      <c r="D34" s="70">
        <v>5.15</v>
      </c>
      <c r="E34" s="70">
        <v>-15.327</v>
      </c>
      <c r="F34" s="70">
        <v>9.5500000000000007</v>
      </c>
      <c r="G34" s="70">
        <v>-3.468337</v>
      </c>
      <c r="H34" s="123">
        <v>-4.0953369999999998</v>
      </c>
      <c r="I34" s="70">
        <v>-1.2783710000000001</v>
      </c>
      <c r="J34" s="70">
        <v>-0.46062899999999996</v>
      </c>
      <c r="K34" s="70">
        <v>-5.2809999999999997</v>
      </c>
      <c r="L34" s="70">
        <v>7.8273553149845272</v>
      </c>
      <c r="M34" s="123">
        <v>0.80735531498452751</v>
      </c>
      <c r="N34" s="70">
        <v>4.1741189999999992</v>
      </c>
      <c r="O34" s="70">
        <v>-1.0841189999999994</v>
      </c>
      <c r="P34" s="70">
        <v>-1.2639999999999998</v>
      </c>
      <c r="Q34" s="70">
        <v>2.2909999999999999</v>
      </c>
      <c r="R34" s="123">
        <v>4.117</v>
      </c>
      <c r="S34" s="70">
        <v>2.7679999999999998</v>
      </c>
      <c r="T34" s="70">
        <v>-5.0489999999999995</v>
      </c>
      <c r="U34" s="70">
        <v>1.3099999999999996</v>
      </c>
      <c r="V34" s="70">
        <v>-5.5309999999999997</v>
      </c>
      <c r="W34" s="123">
        <v>-6.5019999999999998</v>
      </c>
      <c r="X34" s="70">
        <v>-10.648</v>
      </c>
      <c r="Y34" s="70">
        <v>-9.4400000000000013</v>
      </c>
      <c r="Z34" s="70">
        <v>6.15</v>
      </c>
      <c r="AA34" s="70">
        <v>-2.3740000000000006</v>
      </c>
      <c r="AB34" s="123">
        <v>-16.312000000000001</v>
      </c>
      <c r="AC34" s="70">
        <v>3.536</v>
      </c>
      <c r="AD34" s="70">
        <v>-12.898999999999999</v>
      </c>
      <c r="AE34" s="70">
        <v>4.6169999999999991</v>
      </c>
      <c r="AF34" s="70">
        <v>8.2590000000000003</v>
      </c>
      <c r="AG34" s="123">
        <v>3.5129999999999999</v>
      </c>
      <c r="AH34" s="70">
        <v>5.5940000000000003</v>
      </c>
      <c r="AI34" s="70">
        <v>-5.702</v>
      </c>
      <c r="AJ34" s="70">
        <v>-4.302999999999999</v>
      </c>
      <c r="AK34" s="70">
        <f t="shared" si="5"/>
        <v>-9.110000000000003</v>
      </c>
      <c r="AL34" s="123">
        <v>-13.521000000000001</v>
      </c>
      <c r="AM34" s="70">
        <v>1.3120000000000001</v>
      </c>
      <c r="AN34" s="70">
        <v>6.0569999999999995</v>
      </c>
      <c r="AO34" s="70">
        <v>-16.558</v>
      </c>
      <c r="AP34" s="70">
        <f t="shared" si="4"/>
        <v>-25.385294481269099</v>
      </c>
      <c r="AQ34" s="123">
        <v>-34.574294481269099</v>
      </c>
      <c r="AR34" s="70">
        <v>-8.2109398100000011</v>
      </c>
      <c r="AS34" s="70">
        <v>-7.4502145368564481</v>
      </c>
      <c r="AT34" s="70">
        <v>17.430636677848867</v>
      </c>
      <c r="AU34" s="70">
        <v>23.569517669007581</v>
      </c>
      <c r="AV34" s="123">
        <v>25.338999999999999</v>
      </c>
      <c r="AW34" s="70">
        <v>-5.143802740000007</v>
      </c>
      <c r="AX34" s="70">
        <v>2.8388027400000069</v>
      </c>
      <c r="AY34" s="70">
        <v>-11.108000000000001</v>
      </c>
      <c r="AZ34" s="70">
        <v>-15.977999999999998</v>
      </c>
      <c r="BA34" s="123">
        <v>-29.390999999999998</v>
      </c>
      <c r="BB34" s="70">
        <v>-10.220000000000001</v>
      </c>
      <c r="BC34" s="70">
        <v>-10.99</v>
      </c>
      <c r="BD34" s="70">
        <v>10.998000000000001</v>
      </c>
      <c r="BE34" s="70">
        <v>-0.16699999999999982</v>
      </c>
      <c r="BF34" s="169">
        <v>-10.379</v>
      </c>
      <c r="BG34" s="70">
        <v>-5.492</v>
      </c>
      <c r="BH34" s="70">
        <v>-18.262999999999998</v>
      </c>
      <c r="BK34" s="210"/>
    </row>
    <row r="35" spans="1:63" ht="16" x14ac:dyDescent="0.4">
      <c r="A35" s="17" t="s">
        <v>283</v>
      </c>
      <c r="B35" s="17" t="s">
        <v>284</v>
      </c>
      <c r="C35" s="17"/>
      <c r="D35" s="70">
        <v>-14.26</v>
      </c>
      <c r="E35" s="70">
        <v>14.231</v>
      </c>
      <c r="F35" s="70">
        <v>-26.256</v>
      </c>
      <c r="G35" s="70">
        <v>4.211089114802558</v>
      </c>
      <c r="H35" s="123">
        <v>-22.073910885197442</v>
      </c>
      <c r="I35" s="70">
        <v>-7.6829321609421513</v>
      </c>
      <c r="J35" s="70">
        <v>2.6339321609421509</v>
      </c>
      <c r="K35" s="70">
        <v>22.238</v>
      </c>
      <c r="L35" s="70">
        <v>19.866208084384738</v>
      </c>
      <c r="M35" s="123">
        <v>37.055208084384738</v>
      </c>
      <c r="N35" s="70">
        <v>-16.39419628677711</v>
      </c>
      <c r="O35" s="70">
        <v>-4.130803713222889</v>
      </c>
      <c r="P35" s="70">
        <v>-9.4430000000000014</v>
      </c>
      <c r="Q35" s="70">
        <v>4.1879999999999988</v>
      </c>
      <c r="R35" s="123">
        <v>-25.78</v>
      </c>
      <c r="S35" s="70">
        <v>-25.97</v>
      </c>
      <c r="T35" s="70">
        <v>11.784999999999998</v>
      </c>
      <c r="U35" s="70">
        <v>-3.3669999999999991</v>
      </c>
      <c r="V35" s="70">
        <v>13.486000000000001</v>
      </c>
      <c r="W35" s="123">
        <v>-4.0659999999999998</v>
      </c>
      <c r="X35" s="70">
        <v>9.64</v>
      </c>
      <c r="Y35" s="70">
        <v>5.7999999999999829E-2</v>
      </c>
      <c r="Z35" s="70">
        <v>-10.253</v>
      </c>
      <c r="AA35" s="70">
        <v>83.394000000000005</v>
      </c>
      <c r="AB35" s="123">
        <v>82.838999999999999</v>
      </c>
      <c r="AC35" s="70">
        <v>7.6999999999999999E-2</v>
      </c>
      <c r="AD35" s="70">
        <v>-16.269000000000002</v>
      </c>
      <c r="AE35" s="70">
        <v>0.79300000000000104</v>
      </c>
      <c r="AF35" s="70">
        <v>4.572000000000001</v>
      </c>
      <c r="AG35" s="123">
        <v>-10.827</v>
      </c>
      <c r="AH35" s="70">
        <v>-27.427</v>
      </c>
      <c r="AI35" s="70">
        <v>1.8780000000000001</v>
      </c>
      <c r="AJ35" s="70">
        <v>-8.7150000000000034</v>
      </c>
      <c r="AK35" s="70">
        <f t="shared" si="5"/>
        <v>-15.142999999999994</v>
      </c>
      <c r="AL35" s="123">
        <v>-49.406999999999996</v>
      </c>
      <c r="AM35" s="70">
        <v>20.465</v>
      </c>
      <c r="AN35" s="70">
        <v>-44.980000000000004</v>
      </c>
      <c r="AO35" s="70">
        <v>29.462000000000003</v>
      </c>
      <c r="AP35" s="70">
        <f t="shared" si="4"/>
        <v>15.58732097956846</v>
      </c>
      <c r="AQ35" s="123">
        <v>20.534320979568459</v>
      </c>
      <c r="AR35" s="70">
        <v>-66.532709222584842</v>
      </c>
      <c r="AS35" s="70">
        <v>52.23081990403881</v>
      </c>
      <c r="AT35" s="70">
        <v>3.4405950729772954</v>
      </c>
      <c r="AU35" s="70">
        <v>31.276294245568742</v>
      </c>
      <c r="AV35" s="123">
        <v>20.414999999999999</v>
      </c>
      <c r="AW35" s="70">
        <v>-44.060288147795603</v>
      </c>
      <c r="AX35" s="70">
        <v>-26.914711852204391</v>
      </c>
      <c r="AY35" s="70">
        <v>26.843999999999994</v>
      </c>
      <c r="AZ35" s="70">
        <v>11.338999999999999</v>
      </c>
      <c r="BA35" s="123">
        <v>-32.792000000000002</v>
      </c>
      <c r="BB35" s="70">
        <v>7.0650000000000004</v>
      </c>
      <c r="BC35" s="70">
        <v>-6.8020000000000005</v>
      </c>
      <c r="BD35" s="70">
        <v>17.024999999999999</v>
      </c>
      <c r="BE35" s="70">
        <v>9.8320000000000007</v>
      </c>
      <c r="BF35" s="169">
        <v>27.12</v>
      </c>
      <c r="BG35" s="70">
        <v>-15.534000000000001</v>
      </c>
      <c r="BH35" s="70">
        <v>5.2380000000000013</v>
      </c>
      <c r="BK35" s="210"/>
    </row>
    <row r="36" spans="1:63" ht="16" x14ac:dyDescent="0.4">
      <c r="A36" s="17" t="s">
        <v>285</v>
      </c>
      <c r="B36" s="17" t="s">
        <v>286</v>
      </c>
      <c r="C36" s="17"/>
      <c r="D36" s="70">
        <v>-0.17599999999999999</v>
      </c>
      <c r="E36" s="70">
        <v>0.53200000000000003</v>
      </c>
      <c r="F36" s="70">
        <v>0.36599999999999988</v>
      </c>
      <c r="G36" s="70">
        <v>-0.8859999999999999</v>
      </c>
      <c r="H36" s="123">
        <v>-0.16400000000000001</v>
      </c>
      <c r="I36" s="70">
        <v>-0.57399999999999995</v>
      </c>
      <c r="J36" s="70">
        <v>-2.0260000000000002</v>
      </c>
      <c r="K36" s="70">
        <v>0.63900000000000023</v>
      </c>
      <c r="L36" s="70">
        <v>1.08</v>
      </c>
      <c r="M36" s="123">
        <v>-0.88100000000000001</v>
      </c>
      <c r="N36" s="70">
        <v>-0.60099999999999998</v>
      </c>
      <c r="O36" s="70">
        <v>0.47199999999999998</v>
      </c>
      <c r="P36" s="70">
        <v>0.94799999999999995</v>
      </c>
      <c r="Q36" s="70">
        <v>2.4470000000000001</v>
      </c>
      <c r="R36" s="123">
        <v>3.266</v>
      </c>
      <c r="S36" s="70">
        <v>0.82899999999999996</v>
      </c>
      <c r="T36" s="70">
        <v>1.6740000000000002</v>
      </c>
      <c r="U36" s="70">
        <v>2.3780000000000001</v>
      </c>
      <c r="V36" s="70">
        <v>-0.7300000000000002</v>
      </c>
      <c r="W36" s="123">
        <v>4.1509999999999998</v>
      </c>
      <c r="X36" s="70">
        <v>-0.6</v>
      </c>
      <c r="Y36" s="70">
        <v>-4.093</v>
      </c>
      <c r="Z36" s="70">
        <v>3.2609999999999997</v>
      </c>
      <c r="AA36" s="70">
        <v>-0.79400000000000004</v>
      </c>
      <c r="AB36" s="123">
        <v>-2.226</v>
      </c>
      <c r="AC36" s="70">
        <v>-1.7070000000000001</v>
      </c>
      <c r="AD36" s="70">
        <v>1.2000000000000011E-2</v>
      </c>
      <c r="AE36" s="70">
        <v>2.867</v>
      </c>
      <c r="AF36" s="70">
        <v>-5.7029999999999994</v>
      </c>
      <c r="AG36" s="123">
        <v>-4.5309999999999997</v>
      </c>
      <c r="AH36" s="70">
        <v>-1.665</v>
      </c>
      <c r="AI36" s="70">
        <v>1.8140000000000001</v>
      </c>
      <c r="AJ36" s="70">
        <v>1.1431156099999997</v>
      </c>
      <c r="AK36" s="70">
        <f t="shared" si="5"/>
        <v>1.0840000000000005</v>
      </c>
      <c r="AL36" s="123">
        <v>2.3761156099999998</v>
      </c>
      <c r="AM36" s="70">
        <v>-1.6615999999999999E-2</v>
      </c>
      <c r="AN36" s="70">
        <v>0.64300000000000002</v>
      </c>
      <c r="AO36" s="70">
        <v>-1.468</v>
      </c>
      <c r="AP36" s="70">
        <f t="shared" si="4"/>
        <v>3.177999999999999</v>
      </c>
      <c r="AQ36" s="123">
        <v>2.3363839999999994</v>
      </c>
      <c r="AR36" s="70">
        <v>-0.25899999999999956</v>
      </c>
      <c r="AS36" s="70">
        <v>1.08</v>
      </c>
      <c r="AT36" s="70">
        <v>-1.117492699999999</v>
      </c>
      <c r="AU36" s="70">
        <v>2.0574926999999983</v>
      </c>
      <c r="AV36" s="123">
        <v>1.7609999999999999</v>
      </c>
      <c r="AW36" s="70">
        <v>-1.0870780199999999</v>
      </c>
      <c r="AX36" s="70">
        <v>-0.46392198000000007</v>
      </c>
      <c r="AY36" s="70">
        <v>0.70899999999999996</v>
      </c>
      <c r="AZ36" s="70">
        <v>0.84199999999999997</v>
      </c>
      <c r="BA36" s="123">
        <v>0</v>
      </c>
      <c r="BB36" s="70">
        <v>0</v>
      </c>
      <c r="BC36" s="70">
        <v>0</v>
      </c>
      <c r="BD36" s="70">
        <v>0</v>
      </c>
      <c r="BE36" s="70">
        <v>0</v>
      </c>
      <c r="BF36" s="169">
        <v>0</v>
      </c>
      <c r="BG36" s="70">
        <v>0</v>
      </c>
      <c r="BH36" s="70">
        <v>0</v>
      </c>
      <c r="BK36" s="210"/>
    </row>
    <row r="37" spans="1:63" ht="16" x14ac:dyDescent="0.4">
      <c r="A37" s="17" t="s">
        <v>287</v>
      </c>
      <c r="B37" s="17" t="s">
        <v>288</v>
      </c>
      <c r="C37" s="17"/>
      <c r="D37" s="70">
        <v>-13.311</v>
      </c>
      <c r="E37" s="70">
        <v>14.981999999999999</v>
      </c>
      <c r="F37" s="70">
        <v>-14.199</v>
      </c>
      <c r="G37" s="70">
        <v>3.3216262809917367</v>
      </c>
      <c r="H37" s="123">
        <v>-9.2063737190082637</v>
      </c>
      <c r="I37" s="70">
        <v>-7.0104055578154263</v>
      </c>
      <c r="J37" s="70">
        <v>3.2554055578154264</v>
      </c>
      <c r="K37" s="70">
        <v>-8.0060000000000002</v>
      </c>
      <c r="L37" s="70">
        <v>0.32481087241008222</v>
      </c>
      <c r="M37" s="123">
        <v>-11.436189127589918</v>
      </c>
      <c r="N37" s="70">
        <v>-3.0690757938374831</v>
      </c>
      <c r="O37" s="70">
        <v>4.4750757938374832</v>
      </c>
      <c r="P37" s="70">
        <v>-2.8890000000000002</v>
      </c>
      <c r="Q37" s="70">
        <v>13.137</v>
      </c>
      <c r="R37" s="123">
        <v>11.654</v>
      </c>
      <c r="S37" s="70">
        <v>-8.3249999999999993</v>
      </c>
      <c r="T37" s="70">
        <v>12.953999999999999</v>
      </c>
      <c r="U37" s="70">
        <v>-9.4689999999999994</v>
      </c>
      <c r="V37" s="70">
        <v>1.1099999999999994</v>
      </c>
      <c r="W37" s="123">
        <v>-3.73</v>
      </c>
      <c r="X37" s="70">
        <v>-4.1230000000000002</v>
      </c>
      <c r="Y37" s="70">
        <v>15.716999999999999</v>
      </c>
      <c r="Z37" s="70">
        <v>-0.78599999999999781</v>
      </c>
      <c r="AA37" s="70">
        <v>-9.6210000000000004</v>
      </c>
      <c r="AB37" s="123">
        <v>1.1870000000000001</v>
      </c>
      <c r="AC37" s="70">
        <v>3.4119999999999999</v>
      </c>
      <c r="AD37" s="70">
        <v>34.692</v>
      </c>
      <c r="AE37" s="70">
        <v>7.8109999999999999</v>
      </c>
      <c r="AF37" s="70">
        <v>8.3950000000000031</v>
      </c>
      <c r="AG37" s="123">
        <v>54.31</v>
      </c>
      <c r="AH37" s="70">
        <v>-7.617</v>
      </c>
      <c r="AI37" s="70">
        <v>9.2759999999999998</v>
      </c>
      <c r="AJ37" s="70">
        <v>-10.425999999999998</v>
      </c>
      <c r="AK37" s="70">
        <f t="shared" si="5"/>
        <v>35.765000000000001</v>
      </c>
      <c r="AL37" s="123">
        <v>26.998000000000001</v>
      </c>
      <c r="AM37" s="70">
        <v>-23.274999999999999</v>
      </c>
      <c r="AN37" s="70">
        <v>43.180999999999997</v>
      </c>
      <c r="AO37" s="70">
        <v>47.736000000000004</v>
      </c>
      <c r="AP37" s="70">
        <f t="shared" si="4"/>
        <v>11.618523525271485</v>
      </c>
      <c r="AQ37" s="123">
        <v>79.260523525271481</v>
      </c>
      <c r="AR37" s="70">
        <v>-61.65842266878925</v>
      </c>
      <c r="AS37" s="70">
        <v>-15.00161304344595</v>
      </c>
      <c r="AT37" s="70">
        <v>-40.047946190928229</v>
      </c>
      <c r="AU37" s="70">
        <v>-8.9090180968365758</v>
      </c>
      <c r="AV37" s="123">
        <v>-125.617</v>
      </c>
      <c r="AW37" s="70">
        <v>-10.245361334050161</v>
      </c>
      <c r="AX37" s="70">
        <v>7.5873613340501613</v>
      </c>
      <c r="AY37" s="70">
        <v>1.9559999999999995</v>
      </c>
      <c r="AZ37" s="70">
        <v>-3.1619999999999999</v>
      </c>
      <c r="BA37" s="123">
        <v>-3.8639999999999999</v>
      </c>
      <c r="BB37" s="70">
        <v>-5.2359999999999998</v>
      </c>
      <c r="BC37" s="70">
        <v>8.3079999999999998</v>
      </c>
      <c r="BD37" s="70">
        <v>-10.024000000000001</v>
      </c>
      <c r="BE37" s="70">
        <v>-13.343</v>
      </c>
      <c r="BF37" s="169">
        <v>-20.295000000000002</v>
      </c>
      <c r="BG37" s="70">
        <v>2.9929999999999999</v>
      </c>
      <c r="BH37" s="70">
        <v>2.4609999999999999</v>
      </c>
      <c r="BK37" s="210"/>
    </row>
    <row r="38" spans="1:63" ht="16" x14ac:dyDescent="0.4">
      <c r="A38" s="58" t="s">
        <v>289</v>
      </c>
      <c r="B38" s="58" t="s">
        <v>290</v>
      </c>
      <c r="C38" s="21"/>
      <c r="D38" s="59">
        <v>-22.597000000000001</v>
      </c>
      <c r="E38" s="59">
        <v>14.418000000000001</v>
      </c>
      <c r="F38" s="59">
        <v>-30.538999999999994</v>
      </c>
      <c r="G38" s="59">
        <v>3.1783783957942902</v>
      </c>
      <c r="H38" s="111">
        <v>-35.539621604205706</v>
      </c>
      <c r="I38" s="59">
        <v>-16.545708718757577</v>
      </c>
      <c r="J38" s="59">
        <v>3.4027087187575766</v>
      </c>
      <c r="K38" s="59">
        <v>9.5900000000000016</v>
      </c>
      <c r="L38" s="59">
        <v>29.098374271779335</v>
      </c>
      <c r="M38" s="111">
        <v>25.545374271779345</v>
      </c>
      <c r="N38" s="59">
        <v>-15.890153080614594</v>
      </c>
      <c r="O38" s="59">
        <v>-0.26784691938540739</v>
      </c>
      <c r="P38" s="59">
        <v>-12.648</v>
      </c>
      <c r="Q38" s="59">
        <v>22.063000000000002</v>
      </c>
      <c r="R38" s="111">
        <v>-6.7429999999999986</v>
      </c>
      <c r="S38" s="59">
        <v>-30.697999999999997</v>
      </c>
      <c r="T38" s="59">
        <v>21.363999999999997</v>
      </c>
      <c r="U38" s="59">
        <v>-9.1509999999999998</v>
      </c>
      <c r="V38" s="59">
        <v>8.3379999999999974</v>
      </c>
      <c r="W38" s="111">
        <v>-10.147</v>
      </c>
      <c r="X38" s="59">
        <v>-5.7309999999999999</v>
      </c>
      <c r="Y38" s="59">
        <v>2.2419999999999991</v>
      </c>
      <c r="Z38" s="59">
        <v>-1.6280000000000001</v>
      </c>
      <c r="AA38" s="59">
        <v>70.605000000000004</v>
      </c>
      <c r="AB38" s="111">
        <v>65.488</v>
      </c>
      <c r="AC38" s="59">
        <v>5.3179999999999996</v>
      </c>
      <c r="AD38" s="59">
        <v>5.5359999999999996</v>
      </c>
      <c r="AE38" s="59">
        <v>16.088000000000001</v>
      </c>
      <c r="AF38" s="59">
        <v>15.523000000000003</v>
      </c>
      <c r="AG38" s="111">
        <v>42.465000000000003</v>
      </c>
      <c r="AH38" s="59">
        <v>-31.114999999999998</v>
      </c>
      <c r="AI38" s="59">
        <v>7.2659999999999982</v>
      </c>
      <c r="AJ38" s="59">
        <v>-22.300884389999997</v>
      </c>
      <c r="AK38" s="59">
        <f t="shared" si="5"/>
        <v>12.596000000000004</v>
      </c>
      <c r="AL38" s="111">
        <v>-33.553884389999993</v>
      </c>
      <c r="AM38" s="59">
        <v>-1.5146159999999966</v>
      </c>
      <c r="AN38" s="59">
        <v>4.9009999999999962</v>
      </c>
      <c r="AO38" s="59">
        <v>59.171999999999997</v>
      </c>
      <c r="AP38" s="59">
        <f t="shared" si="4"/>
        <v>4.9985500235708429</v>
      </c>
      <c r="AQ38" s="111">
        <v>67.556934023570847</v>
      </c>
      <c r="AR38" s="59">
        <v>-136.66107170137408</v>
      </c>
      <c r="AS38" s="59">
        <v>30.858992323736402</v>
      </c>
      <c r="AT38" s="59">
        <v>-20.29420714010206</v>
      </c>
      <c r="AU38" s="59">
        <v>47.994286517739738</v>
      </c>
      <c r="AV38" s="111">
        <v>-78.102000000000004</v>
      </c>
      <c r="AW38" s="59">
        <v>-60.536530241845703</v>
      </c>
      <c r="AX38" s="59">
        <v>-16.952469758154301</v>
      </c>
      <c r="AY38" s="59">
        <v>18.40100000000001</v>
      </c>
      <c r="AZ38" s="59">
        <v>-6.9590000000000032</v>
      </c>
      <c r="BA38" s="111">
        <v>-66.046999999999997</v>
      </c>
      <c r="BB38" s="59">
        <v>-8.391</v>
      </c>
      <c r="BC38" s="59">
        <v>-9.484</v>
      </c>
      <c r="BD38" s="59">
        <v>17.999000000000002</v>
      </c>
      <c r="BE38" s="59">
        <v>-3.6780000000000044</v>
      </c>
      <c r="BF38" s="167">
        <v>-3.554000000000002</v>
      </c>
      <c r="BG38" s="59">
        <v>-18.033000000000001</v>
      </c>
      <c r="BH38" s="59">
        <v>-10.563999999999997</v>
      </c>
      <c r="BK38" s="210"/>
    </row>
    <row r="39" spans="1:63" ht="16" x14ac:dyDescent="0.4">
      <c r="A39" s="17" t="s">
        <v>291</v>
      </c>
      <c r="B39" s="17" t="s">
        <v>292</v>
      </c>
      <c r="C39" s="17"/>
      <c r="D39" s="70">
        <v>-9.718</v>
      </c>
      <c r="E39" s="70">
        <v>-5.6449999999999996</v>
      </c>
      <c r="F39" s="70">
        <v>-9.1380000000000017</v>
      </c>
      <c r="G39" s="70">
        <v>-23.016000000000009</v>
      </c>
      <c r="H39" s="123">
        <v>-47.173000000000002</v>
      </c>
      <c r="I39" s="70">
        <v>-0.62430056901654496</v>
      </c>
      <c r="J39" s="70">
        <v>-10.627699430983501</v>
      </c>
      <c r="K39" s="70">
        <v>-0.29800000000000104</v>
      </c>
      <c r="L39" s="70">
        <v>-10.3578925347155</v>
      </c>
      <c r="M39" s="123">
        <v>-21.907892534715501</v>
      </c>
      <c r="N39" s="70">
        <v>-0.19224883727867198</v>
      </c>
      <c r="O39" s="70">
        <v>-10.038751162721301</v>
      </c>
      <c r="P39" s="70">
        <v>-0.14900000000000097</v>
      </c>
      <c r="Q39" s="70">
        <v>-12.577</v>
      </c>
      <c r="R39" s="123">
        <v>-22.956999999999997</v>
      </c>
      <c r="S39" s="70">
        <v>-0.11499999999999999</v>
      </c>
      <c r="T39" s="70">
        <v>-23.757999999999999</v>
      </c>
      <c r="U39" s="70">
        <v>-1.4238323199999994</v>
      </c>
      <c r="V39" s="70">
        <v>-4.6121676800000024</v>
      </c>
      <c r="W39" s="123">
        <v>-29.908999999999999</v>
      </c>
      <c r="X39" s="70">
        <v>-2.2280000000000002</v>
      </c>
      <c r="Y39" s="70">
        <v>-5.9280000000000008</v>
      </c>
      <c r="Z39" s="70">
        <v>-1.718</v>
      </c>
      <c r="AA39" s="70">
        <v>-5.9454876872159979</v>
      </c>
      <c r="AB39" s="123">
        <v>-15.819487687215998</v>
      </c>
      <c r="AC39" s="70">
        <v>-2.451152073803827</v>
      </c>
      <c r="AD39" s="70">
        <v>-7.2880785619033812</v>
      </c>
      <c r="AE39" s="70">
        <v>-4.0040974891169814</v>
      </c>
      <c r="AF39" s="70">
        <v>-8.2648764152926617</v>
      </c>
      <c r="AG39" s="123">
        <v>-22.00820454011685</v>
      </c>
      <c r="AH39" s="70">
        <v>-2.9649999999999999</v>
      </c>
      <c r="AI39" s="70">
        <v>-7.2349999999999994</v>
      </c>
      <c r="AJ39" s="70">
        <v>-2.8090000000000011</v>
      </c>
      <c r="AK39" s="70">
        <f t="shared" si="5"/>
        <v>-6.1909999999999989</v>
      </c>
      <c r="AL39" s="123">
        <v>-19.2</v>
      </c>
      <c r="AM39" s="70">
        <v>-5.4969999999999999</v>
      </c>
      <c r="AN39" s="70">
        <v>-7.5980000000000008</v>
      </c>
      <c r="AO39" s="70">
        <v>-4.520999999999999</v>
      </c>
      <c r="AP39" s="70">
        <f t="shared" si="4"/>
        <v>-5.6849999999999987</v>
      </c>
      <c r="AQ39" s="123">
        <v>-23.300999999999998</v>
      </c>
      <c r="AR39" s="70">
        <v>-4.6150000000000002</v>
      </c>
      <c r="AS39" s="70">
        <v>-6.2816684339553497</v>
      </c>
      <c r="AT39" s="70">
        <v>-6.387621509593588</v>
      </c>
      <c r="AU39" s="70">
        <v>-8.9067100564510628</v>
      </c>
      <c r="AV39" s="123">
        <v>-26.190999999999999</v>
      </c>
      <c r="AW39" s="70">
        <v>-9.141</v>
      </c>
      <c r="AX39" s="70">
        <v>-8.1560000000000006</v>
      </c>
      <c r="AY39" s="70">
        <v>-6.6259999999999977</v>
      </c>
      <c r="AZ39" s="70">
        <v>-9.5260000000000034</v>
      </c>
      <c r="BA39" s="123">
        <v>-33.448999999999998</v>
      </c>
      <c r="BB39" s="70">
        <v>-6.0419999999999998</v>
      </c>
      <c r="BC39" s="70">
        <v>-12.305999999999999</v>
      </c>
      <c r="BD39" s="70">
        <v>-5.8989999999999991</v>
      </c>
      <c r="BE39" s="70">
        <v>-10.935000000000004</v>
      </c>
      <c r="BF39" s="169">
        <v>-35.182000000000002</v>
      </c>
      <c r="BG39" s="70">
        <v>-7.01510931017574</v>
      </c>
      <c r="BH39" s="70">
        <v>-10.279800257970852</v>
      </c>
      <c r="BK39" s="210"/>
    </row>
    <row r="40" spans="1:63" ht="16" x14ac:dyDescent="0.4">
      <c r="A40" s="17" t="s">
        <v>293</v>
      </c>
      <c r="B40" s="17" t="s">
        <v>294</v>
      </c>
      <c r="C40" s="17"/>
      <c r="D40" s="70">
        <v>0</v>
      </c>
      <c r="E40" s="70">
        <v>0</v>
      </c>
      <c r="F40" s="70">
        <v>0</v>
      </c>
      <c r="G40" s="70">
        <v>0</v>
      </c>
      <c r="H40" s="123">
        <v>0</v>
      </c>
      <c r="I40" s="70">
        <v>0</v>
      </c>
      <c r="J40" s="70">
        <v>0</v>
      </c>
      <c r="K40" s="70">
        <v>0</v>
      </c>
      <c r="L40" s="70">
        <v>0</v>
      </c>
      <c r="M40" s="123">
        <v>0</v>
      </c>
      <c r="N40" s="70">
        <v>0</v>
      </c>
      <c r="O40" s="70">
        <v>0</v>
      </c>
      <c r="P40" s="70">
        <v>0</v>
      </c>
      <c r="Q40" s="70">
        <v>0</v>
      </c>
      <c r="R40" s="123">
        <v>0</v>
      </c>
      <c r="S40" s="70">
        <v>0</v>
      </c>
      <c r="T40" s="70">
        <v>0</v>
      </c>
      <c r="U40" s="70">
        <v>0</v>
      </c>
      <c r="V40" s="70">
        <v>0</v>
      </c>
      <c r="W40" s="123">
        <v>0</v>
      </c>
      <c r="X40" s="70">
        <v>0</v>
      </c>
      <c r="Y40" s="70">
        <v>0</v>
      </c>
      <c r="Z40" s="70">
        <v>0</v>
      </c>
      <c r="AA40" s="70">
        <v>0</v>
      </c>
      <c r="AB40" s="123">
        <v>0</v>
      </c>
      <c r="AC40" s="70">
        <v>0</v>
      </c>
      <c r="AD40" s="70">
        <v>0</v>
      </c>
      <c r="AE40" s="70">
        <v>0</v>
      </c>
      <c r="AF40" s="70">
        <v>0</v>
      </c>
      <c r="AG40" s="123">
        <v>0</v>
      </c>
      <c r="AH40" s="70">
        <v>0</v>
      </c>
      <c r="AI40" s="70">
        <v>1.7999999999999999E-2</v>
      </c>
      <c r="AJ40" s="70">
        <v>2.2000000000000002E-2</v>
      </c>
      <c r="AK40" s="70">
        <f t="shared" si="5"/>
        <v>0</v>
      </c>
      <c r="AL40" s="123">
        <v>0.04</v>
      </c>
      <c r="AM40" s="70">
        <v>0</v>
      </c>
      <c r="AN40" s="70">
        <v>0</v>
      </c>
      <c r="AO40" s="70">
        <v>0</v>
      </c>
      <c r="AP40" s="70">
        <f t="shared" si="4"/>
        <v>0</v>
      </c>
      <c r="AQ40" s="123">
        <v>0</v>
      </c>
      <c r="AR40" s="70">
        <v>0</v>
      </c>
      <c r="AS40" s="70">
        <v>0</v>
      </c>
      <c r="AT40" s="70">
        <v>0</v>
      </c>
      <c r="AU40" s="70">
        <v>0</v>
      </c>
      <c r="AV40" s="123">
        <v>0</v>
      </c>
      <c r="AW40" s="70">
        <v>0</v>
      </c>
      <c r="AX40" s="70">
        <v>0</v>
      </c>
      <c r="AY40" s="70">
        <v>1.7000000000000001E-2</v>
      </c>
      <c r="AZ40" s="70">
        <v>0</v>
      </c>
      <c r="BA40" s="123">
        <v>1.7000000000000001E-2</v>
      </c>
      <c r="BB40" s="70">
        <v>0</v>
      </c>
      <c r="BC40" s="70">
        <v>0</v>
      </c>
      <c r="BD40" s="70">
        <v>0</v>
      </c>
      <c r="BE40" s="70">
        <v>0</v>
      </c>
      <c r="BF40" s="169">
        <v>0</v>
      </c>
      <c r="BG40" s="70">
        <v>-4.0000000000000001E-3</v>
      </c>
      <c r="BH40" s="70">
        <v>2E-3</v>
      </c>
      <c r="BK40" s="210"/>
    </row>
    <row r="41" spans="1:63" ht="16" x14ac:dyDescent="0.4">
      <c r="A41" s="17" t="s">
        <v>295</v>
      </c>
      <c r="B41" s="17" t="s">
        <v>296</v>
      </c>
      <c r="C41" s="17"/>
      <c r="D41" s="70">
        <v>11.628</v>
      </c>
      <c r="E41" s="70">
        <v>-2.3179999999999996</v>
      </c>
      <c r="F41" s="70">
        <v>-2.4000000000000909E-2</v>
      </c>
      <c r="G41" s="70">
        <v>-8.5419999999999998</v>
      </c>
      <c r="H41" s="123">
        <v>0.74399999999999999</v>
      </c>
      <c r="I41" s="70">
        <v>0.11399005</v>
      </c>
      <c r="J41" s="70">
        <v>-0.87499004999999996</v>
      </c>
      <c r="K41" s="70">
        <v>0</v>
      </c>
      <c r="L41" s="70">
        <v>-7.551965</v>
      </c>
      <c r="M41" s="123">
        <v>-8.3129650000000002</v>
      </c>
      <c r="N41" s="70">
        <v>0</v>
      </c>
      <c r="O41" s="70">
        <v>-3.323</v>
      </c>
      <c r="P41" s="70">
        <v>0.29000000000000004</v>
      </c>
      <c r="Q41" s="70">
        <v>-16.596999999999998</v>
      </c>
      <c r="R41" s="123">
        <v>-19.63</v>
      </c>
      <c r="S41" s="70">
        <v>0.28499999999999998</v>
      </c>
      <c r="T41" s="70">
        <v>-7.4779999999999998</v>
      </c>
      <c r="U41" s="70">
        <v>-0.59800000000000075</v>
      </c>
      <c r="V41" s="70">
        <v>-21.015999999999998</v>
      </c>
      <c r="W41" s="123">
        <v>-28.806999999999999</v>
      </c>
      <c r="X41" s="53">
        <v>9.5000000000000001E-2</v>
      </c>
      <c r="Y41" s="53">
        <v>-5.3689999999999998</v>
      </c>
      <c r="Z41" s="53">
        <v>-1.4779999999999998</v>
      </c>
      <c r="AA41" s="53">
        <v>-2.8952852861019069</v>
      </c>
      <c r="AB41" s="124">
        <v>-9.6472852861019067</v>
      </c>
      <c r="AC41" s="70">
        <v>1.2022606499999999</v>
      </c>
      <c r="AD41" s="70">
        <v>-0.19109500124999923</v>
      </c>
      <c r="AE41" s="70">
        <v>-0.1861728149999996</v>
      </c>
      <c r="AF41" s="70">
        <v>5.1031728931459028</v>
      </c>
      <c r="AG41" s="124">
        <v>5.9281657268959043</v>
      </c>
      <c r="AH41" s="70">
        <v>0.34899999999999998</v>
      </c>
      <c r="AI41" s="70">
        <v>-9.7999999999999976E-2</v>
      </c>
      <c r="AJ41" s="70">
        <v>-6.633</v>
      </c>
      <c r="AK41" s="70">
        <f t="shared" si="5"/>
        <v>-1.7759999999999989</v>
      </c>
      <c r="AL41" s="124">
        <v>-8.1579999999999995</v>
      </c>
      <c r="AM41" s="70">
        <v>7.3999999999999996E-2</v>
      </c>
      <c r="AN41" s="70">
        <v>-4.4000000000000004</v>
      </c>
      <c r="AO41" s="70">
        <v>-1.7999999999999794E-2</v>
      </c>
      <c r="AP41" s="70">
        <f t="shared" si="4"/>
        <v>-18.230000000000004</v>
      </c>
      <c r="AQ41" s="124">
        <v>-22.574000000000002</v>
      </c>
      <c r="AR41" s="70">
        <v>1.4999999999999999E-2</v>
      </c>
      <c r="AS41" s="70">
        <v>-14.095878413501699</v>
      </c>
      <c r="AT41" s="70">
        <v>1.8784135016982617E-3</v>
      </c>
      <c r="AU41" s="70">
        <v>7.4380000000000015</v>
      </c>
      <c r="AV41" s="124">
        <v>-6.641</v>
      </c>
      <c r="AW41" s="70">
        <v>0.25700000000000001</v>
      </c>
      <c r="AX41" s="70">
        <v>-2.2309999999999999</v>
      </c>
      <c r="AY41" s="70">
        <v>0</v>
      </c>
      <c r="AZ41" s="70">
        <v>5.0979999999999999</v>
      </c>
      <c r="BA41" s="124">
        <v>3.1240000000000001</v>
      </c>
      <c r="BB41" s="70">
        <v>0.26700000000000002</v>
      </c>
      <c r="BC41" s="70">
        <v>-2.4739999999999998</v>
      </c>
      <c r="BD41" s="70">
        <v>9.9999999999988987E-4</v>
      </c>
      <c r="BE41" s="70">
        <v>5.8230000000000004</v>
      </c>
      <c r="BF41" s="170">
        <v>3.617</v>
      </c>
      <c r="BG41" s="70">
        <v>0.26041922999999972</v>
      </c>
      <c r="BH41" s="70">
        <v>-0.22467227000000004</v>
      </c>
      <c r="BK41" s="210"/>
    </row>
    <row r="42" spans="1:63" ht="16" x14ac:dyDescent="0.4">
      <c r="A42" s="137" t="s">
        <v>297</v>
      </c>
      <c r="B42" s="137" t="s">
        <v>298</v>
      </c>
      <c r="C42" s="17"/>
      <c r="D42" s="138"/>
      <c r="E42" s="138"/>
      <c r="F42" s="138"/>
      <c r="G42" s="138"/>
      <c r="H42" s="139"/>
      <c r="I42" s="138"/>
      <c r="J42" s="138"/>
      <c r="K42" s="138"/>
      <c r="L42" s="138"/>
      <c r="M42" s="139"/>
      <c r="N42" s="138"/>
      <c r="O42" s="138"/>
      <c r="P42" s="138"/>
      <c r="Q42" s="138"/>
      <c r="R42" s="139"/>
      <c r="S42" s="138">
        <v>-0.81599999999999995</v>
      </c>
      <c r="T42" s="138">
        <v>-0.505</v>
      </c>
      <c r="U42" s="138">
        <v>0</v>
      </c>
      <c r="V42" s="138">
        <v>0</v>
      </c>
      <c r="W42" s="139">
        <v>-1.321</v>
      </c>
      <c r="X42" s="140">
        <v>0</v>
      </c>
      <c r="Y42" s="140">
        <v>0</v>
      </c>
      <c r="Z42" s="140">
        <v>-4.8829937586371512</v>
      </c>
      <c r="AA42" s="140">
        <v>0</v>
      </c>
      <c r="AB42" s="141">
        <v>-4.8829937586371512</v>
      </c>
      <c r="AC42" s="138">
        <v>0</v>
      </c>
      <c r="AD42" s="138">
        <v>0</v>
      </c>
      <c r="AE42" s="138">
        <v>0</v>
      </c>
      <c r="AF42" s="138">
        <v>0</v>
      </c>
      <c r="AG42" s="141">
        <v>0</v>
      </c>
      <c r="AH42" s="138">
        <v>0</v>
      </c>
      <c r="AI42" s="138">
        <v>0</v>
      </c>
      <c r="AJ42" s="138">
        <v>-4.0800000000000003E-2</v>
      </c>
      <c r="AK42" s="138">
        <f t="shared" si="5"/>
        <v>0</v>
      </c>
      <c r="AL42" s="141">
        <v>-4.0800000000000003E-2</v>
      </c>
      <c r="AM42" s="138">
        <v>0</v>
      </c>
      <c r="AN42" s="138">
        <v>0</v>
      </c>
      <c r="AO42" s="138">
        <v>-0.42599999999999999</v>
      </c>
      <c r="AP42" s="138">
        <f t="shared" si="4"/>
        <v>0</v>
      </c>
      <c r="AQ42" s="141">
        <v>-0.42599999999999999</v>
      </c>
      <c r="AR42" s="138">
        <v>0</v>
      </c>
      <c r="AS42" s="138">
        <v>0</v>
      </c>
      <c r="AT42" s="138">
        <v>0</v>
      </c>
      <c r="AU42" s="138">
        <v>0</v>
      </c>
      <c r="AV42" s="141">
        <v>0</v>
      </c>
      <c r="AW42" s="138">
        <v>0</v>
      </c>
      <c r="AX42" s="138">
        <v>0</v>
      </c>
      <c r="AY42" s="138">
        <v>-0.23600945988370794</v>
      </c>
      <c r="AZ42" s="138">
        <v>0</v>
      </c>
      <c r="BA42" s="141">
        <v>-0.23600945988370792</v>
      </c>
      <c r="BB42" s="138">
        <v>6.0000000000000001E-3</v>
      </c>
      <c r="BC42" s="138">
        <v>0</v>
      </c>
      <c r="BD42" s="138">
        <v>-6.0000000000000001E-3</v>
      </c>
      <c r="BE42" s="138">
        <v>0</v>
      </c>
      <c r="BF42" s="174">
        <v>0</v>
      </c>
      <c r="BG42" s="138">
        <v>0</v>
      </c>
      <c r="BH42" s="138">
        <v>-0.28499999999999998</v>
      </c>
      <c r="BK42" s="210"/>
    </row>
    <row r="43" spans="1:63" ht="16.5" thickBot="1" x14ac:dyDescent="0.45">
      <c r="A43" s="142" t="s">
        <v>299</v>
      </c>
      <c r="B43" s="142" t="s">
        <v>300</v>
      </c>
      <c r="C43" s="142"/>
      <c r="D43" s="143">
        <v>1.9490000000000001</v>
      </c>
      <c r="E43" s="143">
        <v>-7.8719999999999981</v>
      </c>
      <c r="F43" s="143">
        <v>-9.0790000000000024</v>
      </c>
      <c r="G43" s="143">
        <v>-31.427</v>
      </c>
      <c r="H43" s="144">
        <v>-46.429000000000002</v>
      </c>
      <c r="I43" s="143">
        <v>-0.51031051901654512</v>
      </c>
      <c r="J43" s="143">
        <v>-11.502689480983452</v>
      </c>
      <c r="K43" s="143">
        <v>-0.29800000000000182</v>
      </c>
      <c r="L43" s="143">
        <v>-19.973857534715506</v>
      </c>
      <c r="M43" s="144">
        <v>-32.284857534715506</v>
      </c>
      <c r="N43" s="143">
        <v>-0.19224883727867154</v>
      </c>
      <c r="O43" s="143">
        <v>-13.361751162721328</v>
      </c>
      <c r="P43" s="143">
        <v>0.14100000000000001</v>
      </c>
      <c r="Q43" s="143">
        <v>-29.173999999999996</v>
      </c>
      <c r="R43" s="144">
        <v>-42.586999999999996</v>
      </c>
      <c r="S43" s="143">
        <v>-0.64599999999999991</v>
      </c>
      <c r="T43" s="143">
        <v>-31.740999999999993</v>
      </c>
      <c r="U43" s="143">
        <v>-2.0218323200000086</v>
      </c>
      <c r="V43" s="143">
        <v>-25.62816767999999</v>
      </c>
      <c r="W43" s="144">
        <v>-60.036999999999992</v>
      </c>
      <c r="X43" s="143">
        <f>-2.133</f>
        <v>-2.133</v>
      </c>
      <c r="Y43" s="143">
        <f>-11.297</f>
        <v>-11.297000000000001</v>
      </c>
      <c r="Z43" s="143">
        <f>-8.07899375863715</f>
        <v>-8.0789937586371501</v>
      </c>
      <c r="AA43" s="143">
        <f>-8.8407729733179</f>
        <v>-8.8407729733179004</v>
      </c>
      <c r="AB43" s="144">
        <f>-30.3497667319551</f>
        <v>-30.3497667319551</v>
      </c>
      <c r="AC43" s="143">
        <v>-1.2488914238038271</v>
      </c>
      <c r="AD43" s="143">
        <v>-7.4791735631533802</v>
      </c>
      <c r="AE43" s="143">
        <v>-4.1902703041169822</v>
      </c>
      <c r="AF43" s="143">
        <v>-3.1617035221467562</v>
      </c>
      <c r="AG43" s="144">
        <v>-16.080038813220945</v>
      </c>
      <c r="AH43" s="143">
        <v>-2.6159999999999997</v>
      </c>
      <c r="AI43" s="143">
        <v>-7.3149999999999995</v>
      </c>
      <c r="AJ43" s="143">
        <v>-9.4608000000000008</v>
      </c>
      <c r="AK43" s="143">
        <f t="shared" si="5"/>
        <v>-7.966999999999997</v>
      </c>
      <c r="AL43" s="144">
        <v>-27.358799999999999</v>
      </c>
      <c r="AM43" s="143">
        <v>-5.423</v>
      </c>
      <c r="AN43" s="143">
        <v>-12.016</v>
      </c>
      <c r="AO43" s="143">
        <v>-4.947000000000001</v>
      </c>
      <c r="AP43" s="143">
        <f t="shared" si="4"/>
        <v>-23.914999999999999</v>
      </c>
      <c r="AQ43" s="144">
        <v>-46.301000000000002</v>
      </c>
      <c r="AR43" s="143">
        <v>-4.6000000000000005</v>
      </c>
      <c r="AS43" s="143">
        <v>-20.377546847457047</v>
      </c>
      <c r="AT43" s="143">
        <v>-6.3857430960918897</v>
      </c>
      <c r="AU43" s="143">
        <v>-1.4687100564510622</v>
      </c>
      <c r="AV43" s="144">
        <v>-32.832000000000001</v>
      </c>
      <c r="AW43" s="143">
        <v>-8.8840000000000003</v>
      </c>
      <c r="AX43" s="143">
        <v>-10.387</v>
      </c>
      <c r="AY43" s="143">
        <v>-6.8450094598837055</v>
      </c>
      <c r="AZ43" s="143">
        <v>-4.4279999999999973</v>
      </c>
      <c r="BA43" s="144">
        <v>-30.544009459883704</v>
      </c>
      <c r="BB43" s="143">
        <v>-5.7689999999999992</v>
      </c>
      <c r="BC43" s="143">
        <v>-14.780000000000001</v>
      </c>
      <c r="BD43" s="143">
        <v>-5.9039999999999999</v>
      </c>
      <c r="BE43" s="143">
        <v>-5.1120000000000019</v>
      </c>
      <c r="BF43" s="175">
        <v>-31.565000000000001</v>
      </c>
      <c r="BG43" s="143">
        <v>-6.7549999999999999</v>
      </c>
      <c r="BH43" s="143">
        <v>-10.789000000000001</v>
      </c>
      <c r="BK43" s="210"/>
    </row>
    <row r="44" spans="1:63" ht="16.5" thickBot="1" x14ac:dyDescent="0.45">
      <c r="A44" s="145" t="s">
        <v>121</v>
      </c>
      <c r="B44" s="145" t="s">
        <v>122</v>
      </c>
      <c r="C44" s="21"/>
      <c r="D44" s="81">
        <v>22.384</v>
      </c>
      <c r="E44" s="81">
        <v>46.808999999999997</v>
      </c>
      <c r="F44" s="81">
        <v>16.086000000000013</v>
      </c>
      <c r="G44" s="81">
        <v>25.343897901454952</v>
      </c>
      <c r="H44" s="146">
        <f t="shared" ref="H44:W44" si="7">H26+H33+H38+H43</f>
        <v>110.62289790145496</v>
      </c>
      <c r="I44" s="81">
        <f t="shared" si="7"/>
        <v>17.891439786530739</v>
      </c>
      <c r="J44" s="81">
        <f t="shared" si="7"/>
        <v>12.504560213469261</v>
      </c>
      <c r="K44" s="81">
        <f t="shared" si="7"/>
        <v>40.879930034995425</v>
      </c>
      <c r="L44" s="81">
        <f t="shared" si="7"/>
        <v>51.526791550110119</v>
      </c>
      <c r="M44" s="146">
        <f t="shared" si="7"/>
        <v>122.80272158510553</v>
      </c>
      <c r="N44" s="81">
        <f t="shared" si="7"/>
        <v>29.086381566425626</v>
      </c>
      <c r="O44" s="81">
        <f t="shared" si="7"/>
        <v>31.685618433574376</v>
      </c>
      <c r="P44" s="81">
        <f t="shared" si="7"/>
        <v>50.536000000000008</v>
      </c>
      <c r="Q44" s="81">
        <f t="shared" si="7"/>
        <v>64.997000000000014</v>
      </c>
      <c r="R44" s="146">
        <f t="shared" si="7"/>
        <v>176.30500000000001</v>
      </c>
      <c r="S44" s="81">
        <f t="shared" si="7"/>
        <v>37.704000000000008</v>
      </c>
      <c r="T44" s="81">
        <f t="shared" si="7"/>
        <v>57.230803029999997</v>
      </c>
      <c r="U44" s="81">
        <f t="shared" si="7"/>
        <v>78.753837090197123</v>
      </c>
      <c r="V44" s="81">
        <f t="shared" si="7"/>
        <v>64.392948103590868</v>
      </c>
      <c r="W44" s="146">
        <f t="shared" si="7"/>
        <v>238.081588223788</v>
      </c>
      <c r="X44" s="81">
        <f>X26+X33+X38+X43</f>
        <v>55.63766612628811</v>
      </c>
      <c r="Y44" s="81">
        <f>Y26+Y33+Y38+Y43</f>
        <v>28.982880173848972</v>
      </c>
      <c r="Z44" s="81">
        <f>Z26+Z33+Z38+Z43</f>
        <v>32.903690567477497</v>
      </c>
      <c r="AA44" s="81">
        <f>AA26+AA33+AA38+AA43</f>
        <v>67.546747726534676</v>
      </c>
      <c r="AB44" s="146">
        <f>AB26+AB33+AB38+AB43</f>
        <v>185.07098459414922</v>
      </c>
      <c r="AC44" s="81">
        <v>21.245755218279712</v>
      </c>
      <c r="AD44" s="81">
        <v>8.0969656352933654</v>
      </c>
      <c r="AE44" s="81">
        <v>16.871991604608134</v>
      </c>
      <c r="AF44" s="81">
        <v>16.138563718832366</v>
      </c>
      <c r="AG44" s="146">
        <v>62.353276177013576</v>
      </c>
      <c r="AH44" s="81">
        <v>-17.920783203442227</v>
      </c>
      <c r="AI44" s="81">
        <v>44.258783203442192</v>
      </c>
      <c r="AJ44" s="81">
        <v>31.594315610000024</v>
      </c>
      <c r="AK44" s="81">
        <f t="shared" si="5"/>
        <v>83.362999999999914</v>
      </c>
      <c r="AL44" s="146">
        <v>141.2953156099999</v>
      </c>
      <c r="AM44" s="81">
        <v>74.079446880000006</v>
      </c>
      <c r="AN44" s="81">
        <v>84.817326919999999</v>
      </c>
      <c r="AO44" s="81">
        <v>124.99891265999992</v>
      </c>
      <c r="AP44" s="81">
        <f t="shared" si="4"/>
        <v>19.77502923357099</v>
      </c>
      <c r="AQ44" s="146">
        <v>303.67071569357091</v>
      </c>
      <c r="AR44" s="81">
        <v>-86.656275971374072</v>
      </c>
      <c r="AS44" s="81">
        <v>17.914501494890146</v>
      </c>
      <c r="AT44" s="81">
        <v>-27.303162415453428</v>
      </c>
      <c r="AU44" s="81">
        <v>49.920936891937338</v>
      </c>
      <c r="AV44" s="146">
        <v>-46.124000000000017</v>
      </c>
      <c r="AW44" s="81">
        <v>-34.64500000000001</v>
      </c>
      <c r="AX44" s="81">
        <v>43.059580110000027</v>
      </c>
      <c r="AY44" s="81">
        <v>60.318419810116282</v>
      </c>
      <c r="AZ44" s="81">
        <v>9.8664292699999692</v>
      </c>
      <c r="BA44" s="146">
        <v>78.599429190116268</v>
      </c>
      <c r="BB44" s="81">
        <v>15.043493079999998</v>
      </c>
      <c r="BC44" s="81">
        <v>-0.33849307999999212</v>
      </c>
      <c r="BD44" s="81">
        <v>22.070479240000004</v>
      </c>
      <c r="BE44" s="81">
        <v>13.508971450000018</v>
      </c>
      <c r="BF44" s="176">
        <v>50.284450690000028</v>
      </c>
      <c r="BG44" s="81">
        <v>-28.356052010000003</v>
      </c>
      <c r="BH44" s="81">
        <v>3.9160658899999952</v>
      </c>
      <c r="BK44" s="210"/>
    </row>
    <row r="45" spans="1:63" ht="16.5" thickBot="1" x14ac:dyDescent="0.45">
      <c r="A45" s="147"/>
      <c r="B45" s="147"/>
      <c r="C45" s="103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>
        <v>0</v>
      </c>
      <c r="V45" s="148">
        <v>0</v>
      </c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K45" s="210"/>
    </row>
    <row r="46" spans="1:63" ht="16" x14ac:dyDescent="0.4">
      <c r="A46" s="9" t="s">
        <v>301</v>
      </c>
      <c r="B46" s="9" t="s">
        <v>302</v>
      </c>
      <c r="C46" s="9"/>
      <c r="D46" s="6">
        <v>-7.1962066115702479</v>
      </c>
      <c r="E46" s="6">
        <v>-7.2747933884297522</v>
      </c>
      <c r="F46" s="6">
        <v>-23.736999999999998</v>
      </c>
      <c r="G46" s="6">
        <v>-15.766452580991736</v>
      </c>
      <c r="H46" s="7">
        <v>-53.974452580991731</v>
      </c>
      <c r="I46" s="6">
        <v>-14.094614090413222</v>
      </c>
      <c r="J46" s="6">
        <v>-14.818385909586778</v>
      </c>
      <c r="K46" s="6">
        <v>-17.69901034884299</v>
      </c>
      <c r="L46" s="6">
        <v>-14.4264372376681</v>
      </c>
      <c r="M46" s="7">
        <v>-61.039000000000001</v>
      </c>
      <c r="N46" s="6">
        <v>-14.372216889999999</v>
      </c>
      <c r="O46" s="6">
        <v>-7.2397831099999994</v>
      </c>
      <c r="P46" s="6">
        <v>-8.0530000000000008</v>
      </c>
      <c r="Q46" s="6">
        <v>-21.178000000000004</v>
      </c>
      <c r="R46" s="7">
        <v>-50.843000000000004</v>
      </c>
      <c r="S46" s="6">
        <v>-21.213999999999999</v>
      </c>
      <c r="T46" s="6">
        <v>-43.997793999999999</v>
      </c>
      <c r="U46" s="6">
        <v>-53.567205999999999</v>
      </c>
      <c r="V46" s="6">
        <v>-44.97999999999999</v>
      </c>
      <c r="W46" s="7">
        <v>-163.75899999999999</v>
      </c>
      <c r="X46" s="6">
        <v>-91.012</v>
      </c>
      <c r="Y46" s="6">
        <v>-75.838256410256406</v>
      </c>
      <c r="Z46" s="6">
        <v>-63.577743589743591</v>
      </c>
      <c r="AA46" s="6">
        <v>-55.175000000000011</v>
      </c>
      <c r="AB46" s="7">
        <v>-285.60300000000001</v>
      </c>
      <c r="AC46" s="6">
        <v>-35.153174669999999</v>
      </c>
      <c r="AD46" s="6">
        <v>-12.975999999999999</v>
      </c>
      <c r="AE46" s="6">
        <v>-23.363000000000014</v>
      </c>
      <c r="AF46" s="6">
        <v>-20.72399999999999</v>
      </c>
      <c r="AG46" s="7">
        <v>-92.216174670000001</v>
      </c>
      <c r="AH46" s="6">
        <v>-30.847000000000001</v>
      </c>
      <c r="AI46" s="6">
        <v>-15.768000000000001</v>
      </c>
      <c r="AJ46" s="6">
        <v>-11.515999999999998</v>
      </c>
      <c r="AK46" s="6">
        <f t="shared" si="5"/>
        <v>-10.144000000000005</v>
      </c>
      <c r="AL46" s="7">
        <v>-68.275000000000006</v>
      </c>
      <c r="AM46" s="6">
        <v>-15.662000000000001</v>
      </c>
      <c r="AN46" s="6">
        <v>-12.836999999999998</v>
      </c>
      <c r="AO46" s="6">
        <v>-8.0840000000000014</v>
      </c>
      <c r="AP46" s="6">
        <f>AQ46-AM46-AN46-AO46</f>
        <v>-15.226000000000001</v>
      </c>
      <c r="AQ46" s="7">
        <v>-51.808999999999997</v>
      </c>
      <c r="AR46" s="6">
        <v>-11.897</v>
      </c>
      <c r="AS46" s="6">
        <v>-15.273138245300379</v>
      </c>
      <c r="AT46" s="6">
        <v>-23.089861754699619</v>
      </c>
      <c r="AU46" s="6">
        <v>-39.542999999999992</v>
      </c>
      <c r="AV46" s="7">
        <v>-89.802999999999997</v>
      </c>
      <c r="AW46" s="6">
        <v>-16.015999999999998</v>
      </c>
      <c r="AX46" s="6">
        <v>-16.625</v>
      </c>
      <c r="AY46" s="6">
        <v>-13.804000000000002</v>
      </c>
      <c r="AZ46" s="6">
        <v>-24.442</v>
      </c>
      <c r="BA46" s="7">
        <v>-70.887</v>
      </c>
      <c r="BB46" s="6">
        <v>-17.690000000000001</v>
      </c>
      <c r="BC46" s="6">
        <v>-28.821000000000002</v>
      </c>
      <c r="BD46" s="6">
        <v>-28.258000000000006</v>
      </c>
      <c r="BE46" s="6">
        <v>-17.815999999999992</v>
      </c>
      <c r="BF46" s="158">
        <v>-92.584999999999994</v>
      </c>
      <c r="BG46" s="6">
        <v>-47.563000000000002</v>
      </c>
      <c r="BH46" s="6">
        <v>-31.349999999999994</v>
      </c>
      <c r="BK46" s="210"/>
    </row>
    <row r="47" spans="1:63" ht="16" x14ac:dyDescent="0.4">
      <c r="A47" s="17" t="s">
        <v>303</v>
      </c>
      <c r="B47" s="17" t="s">
        <v>304</v>
      </c>
      <c r="C47" s="17"/>
      <c r="D47" s="6">
        <v>-1.538</v>
      </c>
      <c r="E47" s="6">
        <v>-0.24499999999999988</v>
      </c>
      <c r="F47" s="6">
        <v>-0.67100000000000026</v>
      </c>
      <c r="G47" s="6">
        <v>-2.7384953315108724</v>
      </c>
      <c r="H47" s="7">
        <v>-5.1924953315108731</v>
      </c>
      <c r="I47" s="6">
        <v>-2.6520000000000001</v>
      </c>
      <c r="J47" s="6">
        <v>-1.2789999999999999</v>
      </c>
      <c r="K47" s="6">
        <v>-1.6360000000000001</v>
      </c>
      <c r="L47" s="6">
        <v>-0.88726143999999962</v>
      </c>
      <c r="M47" s="7">
        <v>-6.4542614399999998</v>
      </c>
      <c r="N47" s="6">
        <v>-0.35099999999999998</v>
      </c>
      <c r="O47" s="6">
        <v>-0.35099999999999998</v>
      </c>
      <c r="P47" s="6">
        <v>-0.4850000000000001</v>
      </c>
      <c r="Q47" s="6">
        <v>-0.43399999999999994</v>
      </c>
      <c r="R47" s="7">
        <v>-1.621</v>
      </c>
      <c r="S47" s="6">
        <v>-0.441</v>
      </c>
      <c r="T47" s="6">
        <v>-21.771000000000001</v>
      </c>
      <c r="U47" s="6">
        <v>-0.78300000000000125</v>
      </c>
      <c r="V47" s="6">
        <v>-1.2390000000000008</v>
      </c>
      <c r="W47" s="7">
        <v>-24.234000000000002</v>
      </c>
      <c r="X47" s="6">
        <v>-0.91900000000000004</v>
      </c>
      <c r="Y47" s="6">
        <v>-2.012</v>
      </c>
      <c r="Z47" s="6">
        <v>-1.6832564102564103</v>
      </c>
      <c r="AA47" s="6">
        <v>-2.1399999999999997</v>
      </c>
      <c r="AB47" s="7">
        <v>-6.75425641025641</v>
      </c>
      <c r="AC47" s="6">
        <v>-1.6379999999999999</v>
      </c>
      <c r="AD47" s="6">
        <v>-0.8400000000000003</v>
      </c>
      <c r="AE47" s="6">
        <v>-1.4499999999999997</v>
      </c>
      <c r="AF47" s="6">
        <v>-0.88999999999999968</v>
      </c>
      <c r="AG47" s="7">
        <v>-4.8179999999999996</v>
      </c>
      <c r="AH47" s="6">
        <v>-0.51400000000000001</v>
      </c>
      <c r="AI47" s="6">
        <v>-0.39900000000000002</v>
      </c>
      <c r="AJ47" s="6">
        <v>-0.46899999999999986</v>
      </c>
      <c r="AK47" s="6">
        <f t="shared" si="5"/>
        <v>-1.3270000000000004</v>
      </c>
      <c r="AL47" s="7">
        <v>-2.7090000000000001</v>
      </c>
      <c r="AM47" s="6">
        <v>-0.76800000000000002</v>
      </c>
      <c r="AN47" s="6">
        <v>-0.97599999999999998</v>
      </c>
      <c r="AO47" s="6">
        <v>-0.58299999999999996</v>
      </c>
      <c r="AP47" s="6">
        <f>AQ47-AM47-AN47-AO47</f>
        <v>-0.73100000000000009</v>
      </c>
      <c r="AQ47" s="7">
        <v>-3.0579999999999998</v>
      </c>
      <c r="AR47" s="6">
        <v>-0.79100000000000004</v>
      </c>
      <c r="AS47" s="6">
        <v>-1.9769216000000025</v>
      </c>
      <c r="AT47" s="6">
        <v>-1.2320783999999976</v>
      </c>
      <c r="AU47" s="6">
        <v>-1.9339999999999997</v>
      </c>
      <c r="AV47" s="7">
        <v>-5.9340000000000002</v>
      </c>
      <c r="AW47" s="6">
        <v>-1.0469999999999999</v>
      </c>
      <c r="AX47" s="6">
        <v>-2.1930000000000005</v>
      </c>
      <c r="AY47" s="6">
        <v>-1.4689999999999994</v>
      </c>
      <c r="AZ47" s="6">
        <v>-1.2620000000000005</v>
      </c>
      <c r="BA47" s="7">
        <v>-5.9710000000000001</v>
      </c>
      <c r="BB47" s="6">
        <v>-1.3240000000000001</v>
      </c>
      <c r="BC47" s="6">
        <v>-2.4050000000000002</v>
      </c>
      <c r="BD47" s="6">
        <v>-1.5030000000000001</v>
      </c>
      <c r="BE47" s="6">
        <v>-0.60899999999999999</v>
      </c>
      <c r="BF47" s="158">
        <v>-5.8410000000000002</v>
      </c>
      <c r="BG47" s="6">
        <v>-1.1259999999999999</v>
      </c>
      <c r="BH47" s="6">
        <v>-2.0140000000000002</v>
      </c>
      <c r="BK47" s="210"/>
    </row>
    <row r="48" spans="1:63" ht="16" x14ac:dyDescent="0.4">
      <c r="A48" s="137" t="s">
        <v>305</v>
      </c>
      <c r="B48" s="137" t="s">
        <v>306</v>
      </c>
      <c r="C48" s="17"/>
      <c r="D48" s="138">
        <v>-1.7999999999999999E-2</v>
      </c>
      <c r="E48" s="138">
        <v>0.13</v>
      </c>
      <c r="F48" s="138">
        <v>-0.21100000000000002</v>
      </c>
      <c r="G48" s="138">
        <v>2.8000000000000025E-2</v>
      </c>
      <c r="H48" s="139">
        <v>-7.0999999999999994E-2</v>
      </c>
      <c r="I48" s="138">
        <v>-6.0000000000000001E-3</v>
      </c>
      <c r="J48" s="138">
        <v>1.1260000000000001</v>
      </c>
      <c r="K48" s="138">
        <v>2.4999999999999911E-2</v>
      </c>
      <c r="L48" s="138">
        <v>-31.239725079999999</v>
      </c>
      <c r="M48" s="139">
        <v>-30.09472508</v>
      </c>
      <c r="N48" s="138">
        <v>8.0000000000000002E-3</v>
      </c>
      <c r="O48" s="138">
        <v>1.8580000000000001</v>
      </c>
      <c r="P48" s="138">
        <v>-26.004999999999999</v>
      </c>
      <c r="Q48" s="138">
        <v>2.8679999999999986</v>
      </c>
      <c r="R48" s="139">
        <v>-21.271000000000001</v>
      </c>
      <c r="S48" s="138">
        <v>1.917</v>
      </c>
      <c r="T48" s="138">
        <v>-0.41400000000000015</v>
      </c>
      <c r="U48" s="138">
        <v>0.92199999999999993</v>
      </c>
      <c r="V48" s="138">
        <v>-124.86399999999999</v>
      </c>
      <c r="W48" s="139">
        <v>-122.43899999999999</v>
      </c>
      <c r="X48" s="140">
        <v>5.0000000000000001E-3</v>
      </c>
      <c r="Y48" s="140">
        <v>-0.14400000000000002</v>
      </c>
      <c r="Z48" s="140">
        <v>-8.5999999999999993E-2</v>
      </c>
      <c r="AA48" s="140">
        <v>-6.407</v>
      </c>
      <c r="AB48" s="141">
        <v>-6.6319999999999997</v>
      </c>
      <c r="AC48" s="138">
        <v>3.3000000000000002E-2</v>
      </c>
      <c r="AD48" s="138">
        <v>1.7000000000000001E-2</v>
      </c>
      <c r="AE48" s="138">
        <v>-3.5000000000000003E-2</v>
      </c>
      <c r="AF48" s="138">
        <v>-1.4999999999999999E-2</v>
      </c>
      <c r="AG48" s="141">
        <v>0</v>
      </c>
      <c r="AH48" s="138">
        <v>-1.7000000000000001E-2</v>
      </c>
      <c r="AI48" s="138">
        <v>-0.112</v>
      </c>
      <c r="AJ48" s="138">
        <v>3.0000000000000027E-3</v>
      </c>
      <c r="AK48" s="138">
        <f t="shared" si="5"/>
        <v>-0.20200000000000001</v>
      </c>
      <c r="AL48" s="141">
        <v>-0.32800000000000001</v>
      </c>
      <c r="AM48" s="138">
        <v>-1E-3</v>
      </c>
      <c r="AN48" s="138">
        <v>-2.7E-2</v>
      </c>
      <c r="AO48" s="138">
        <v>-1.3000000000000001E-2</v>
      </c>
      <c r="AP48" s="138">
        <f>AQ48-AM48-AN48-AO48</f>
        <v>0.222</v>
      </c>
      <c r="AQ48" s="141">
        <v>0.18099999999999999</v>
      </c>
      <c r="AR48" s="138">
        <v>0.52400000000000002</v>
      </c>
      <c r="AS48" s="138">
        <v>5.5053772951448643E-2</v>
      </c>
      <c r="AT48" s="138">
        <v>0.19894622704855136</v>
      </c>
      <c r="AU48" s="138">
        <v>-1.069</v>
      </c>
      <c r="AV48" s="141">
        <v>-0.29099999999999998</v>
      </c>
      <c r="AW48" s="138">
        <v>0.75600000000000001</v>
      </c>
      <c r="AX48" s="138">
        <v>-0.97</v>
      </c>
      <c r="AY48" s="138">
        <v>0.13800000000000168</v>
      </c>
      <c r="AZ48" s="138">
        <v>-20.312000000000005</v>
      </c>
      <c r="BA48" s="141">
        <v>-20.190000000000001</v>
      </c>
      <c r="BB48" s="138">
        <v>-1.8360000000000187</v>
      </c>
      <c r="BC48" s="138">
        <v>1.2850162599999906</v>
      </c>
      <c r="BD48" s="138">
        <v>-0.36001625999997189</v>
      </c>
      <c r="BE48" s="138">
        <v>0.64200000000000013</v>
      </c>
      <c r="BF48" s="174">
        <v>-0.26900000000000002</v>
      </c>
      <c r="BG48" s="138">
        <v>0</v>
      </c>
      <c r="BH48" s="138">
        <v>-3.9E-2</v>
      </c>
      <c r="BK48" s="210"/>
    </row>
    <row r="49" spans="1:63" ht="16.5" thickBot="1" x14ac:dyDescent="0.45">
      <c r="A49" s="17" t="s">
        <v>307</v>
      </c>
      <c r="B49" s="17" t="s">
        <v>146</v>
      </c>
      <c r="C49" s="17"/>
      <c r="D49" s="70">
        <v>0</v>
      </c>
      <c r="E49" s="70">
        <v>3.6259999999999999</v>
      </c>
      <c r="F49" s="70">
        <v>4.229000000000001</v>
      </c>
      <c r="G49" s="70">
        <v>24.410999999999994</v>
      </c>
      <c r="H49" s="123">
        <v>32.265999999999998</v>
      </c>
      <c r="I49" s="70">
        <v>3.3940000000000001</v>
      </c>
      <c r="J49" s="70">
        <v>3.9429999999999996</v>
      </c>
      <c r="K49" s="70">
        <v>17.550000000000004</v>
      </c>
      <c r="L49" s="70">
        <v>16.531999999999996</v>
      </c>
      <c r="M49" s="123">
        <v>41.418999999999997</v>
      </c>
      <c r="N49" s="70">
        <v>1E-3</v>
      </c>
      <c r="O49" s="70">
        <v>2.653</v>
      </c>
      <c r="P49" s="70">
        <v>0.51100000000000012</v>
      </c>
      <c r="Q49" s="70">
        <v>0.22699999999999987</v>
      </c>
      <c r="R49" s="123">
        <v>3.3919999999999999</v>
      </c>
      <c r="S49" s="70">
        <v>1.0760000000000001</v>
      </c>
      <c r="T49" s="70">
        <v>0.38029399999999991</v>
      </c>
      <c r="U49" s="70">
        <v>5.5999999999999828E-2</v>
      </c>
      <c r="V49" s="70">
        <v>-0.15624299999999991</v>
      </c>
      <c r="W49" s="123">
        <v>1.3560509999999999</v>
      </c>
      <c r="X49" s="53">
        <v>0.19</v>
      </c>
      <c r="Y49" s="53">
        <v>4.3549999999999995</v>
      </c>
      <c r="Z49" s="53">
        <v>0.11599999999999966</v>
      </c>
      <c r="AA49" s="53">
        <v>0.47900000000000009</v>
      </c>
      <c r="AB49" s="124">
        <v>5.14</v>
      </c>
      <c r="AC49" s="70">
        <v>0.41199999999999998</v>
      </c>
      <c r="AD49" s="70">
        <v>0</v>
      </c>
      <c r="AE49" s="70">
        <v>0.26500000000000007</v>
      </c>
      <c r="AF49" s="70">
        <v>58.570999999999998</v>
      </c>
      <c r="AG49" s="124">
        <v>59.247999999999998</v>
      </c>
      <c r="AH49" s="70">
        <v>0.16500000000000001</v>
      </c>
      <c r="AI49" s="70">
        <v>0.24399999999999997</v>
      </c>
      <c r="AJ49" s="70">
        <v>0</v>
      </c>
      <c r="AK49" s="70">
        <f t="shared" si="5"/>
        <v>5.5490000000000004</v>
      </c>
      <c r="AL49" s="124">
        <v>5.9580000000000002</v>
      </c>
      <c r="AM49" s="70">
        <v>0.38</v>
      </c>
      <c r="AN49" s="70">
        <v>3.0000000000000027E-3</v>
      </c>
      <c r="AO49" s="70">
        <v>0.10099999999999998</v>
      </c>
      <c r="AP49" s="70">
        <f>AQ49-AM49-AN49-AO49</f>
        <v>0.29900000000000004</v>
      </c>
      <c r="AQ49" s="124">
        <v>0.78300000000000003</v>
      </c>
      <c r="AR49" s="70">
        <v>0</v>
      </c>
      <c r="AS49" s="70">
        <v>-7.8899999999999637E-2</v>
      </c>
      <c r="AT49" s="70">
        <v>-1.0000000000036369E-4</v>
      </c>
      <c r="AU49" s="70">
        <v>7.9000000000000001E-2</v>
      </c>
      <c r="AV49" s="124">
        <v>0</v>
      </c>
      <c r="AW49" s="70">
        <v>0</v>
      </c>
      <c r="AX49" s="70">
        <v>1.0549999999999999</v>
      </c>
      <c r="AY49" s="70">
        <v>-0.53700000000000014</v>
      </c>
      <c r="AZ49" s="70">
        <v>1.6870000000000003</v>
      </c>
      <c r="BA49" s="124">
        <v>2.2050000000000001</v>
      </c>
      <c r="BB49" s="70">
        <v>0.47042215000000276</v>
      </c>
      <c r="BC49" s="70">
        <v>-6.2378200000004824E-2</v>
      </c>
      <c r="BD49" s="70">
        <v>0.43495605000000204</v>
      </c>
      <c r="BE49" s="70">
        <v>0.96199999999999997</v>
      </c>
      <c r="BF49" s="170">
        <v>1.8049999999999999</v>
      </c>
      <c r="BG49" s="70">
        <v>0.78800000000000003</v>
      </c>
      <c r="BH49" s="70">
        <v>0.58000000000000007</v>
      </c>
      <c r="BK49" s="210"/>
    </row>
    <row r="50" spans="1:63" ht="16.5" thickBot="1" x14ac:dyDescent="0.45">
      <c r="A50" s="145" t="s">
        <v>147</v>
      </c>
      <c r="B50" s="145" t="s">
        <v>148</v>
      </c>
      <c r="C50" s="21"/>
      <c r="D50" s="81">
        <v>-8.7522066115702479</v>
      </c>
      <c r="E50" s="81">
        <v>-3.7637933884297556</v>
      </c>
      <c r="F50" s="81">
        <v>-20.389999999999986</v>
      </c>
      <c r="G50" s="81">
        <v>5.934052087497383</v>
      </c>
      <c r="H50" s="146">
        <v>-26.971947912502607</v>
      </c>
      <c r="I50" s="81">
        <v>-13.358614090413221</v>
      </c>
      <c r="J50" s="81">
        <v>-11.028385909586779</v>
      </c>
      <c r="K50" s="81">
        <v>-1.7600103488429895</v>
      </c>
      <c r="L50" s="81">
        <v>-30.05</v>
      </c>
      <c r="M50" s="146">
        <v>-56.2</v>
      </c>
      <c r="N50" s="81">
        <v>-14.714216890000001</v>
      </c>
      <c r="O50" s="81">
        <v>-3.0797831099999993</v>
      </c>
      <c r="P50" s="81">
        <v>-34.031999999999996</v>
      </c>
      <c r="Q50" s="81">
        <v>-18.517000000000024</v>
      </c>
      <c r="R50" s="146">
        <v>-70.343000000000018</v>
      </c>
      <c r="S50" s="81">
        <v>-18.661999999999995</v>
      </c>
      <c r="T50" s="81">
        <v>-65.802500000000009</v>
      </c>
      <c r="U50" s="81">
        <v>-53.372205999999991</v>
      </c>
      <c r="V50" s="81">
        <v>-171.23924300000004</v>
      </c>
      <c r="W50" s="146">
        <v>-309.07594900000004</v>
      </c>
      <c r="X50" s="81">
        <v>-91.736000000000004</v>
      </c>
      <c r="Y50" s="81">
        <v>-73.639256410256436</v>
      </c>
      <c r="Z50" s="81">
        <v>-65.230999999999966</v>
      </c>
      <c r="AA50" s="81">
        <v>-63.243000000000023</v>
      </c>
      <c r="AB50" s="146">
        <v>-293.84925641025643</v>
      </c>
      <c r="AC50" s="81">
        <v>-36.346174669999996</v>
      </c>
      <c r="AD50" s="81">
        <v>-13.799000000000007</v>
      </c>
      <c r="AE50" s="81">
        <v>-24.582999999999998</v>
      </c>
      <c r="AF50" s="81">
        <v>36.942</v>
      </c>
      <c r="AG50" s="146">
        <v>-37.786174670000001</v>
      </c>
      <c r="AH50" s="81">
        <v>-31.213000000000001</v>
      </c>
      <c r="AI50" s="81">
        <v>-16.034999999999997</v>
      </c>
      <c r="AJ50" s="81">
        <v>-11.981999999999999</v>
      </c>
      <c r="AK50" s="81">
        <f t="shared" si="5"/>
        <v>-6.1240000000000165</v>
      </c>
      <c r="AL50" s="146">
        <v>-65.354000000000013</v>
      </c>
      <c r="AM50" s="81">
        <v>-16.051000000000002</v>
      </c>
      <c r="AN50" s="81">
        <v>-13.836999999999996</v>
      </c>
      <c r="AO50" s="81">
        <v>-8.5789999999999935</v>
      </c>
      <c r="AP50" s="81">
        <f>AQ50-AM50-AN50-AO50</f>
        <v>-15.436000000000007</v>
      </c>
      <c r="AQ50" s="146">
        <v>-53.902999999999999</v>
      </c>
      <c r="AR50" s="81">
        <v>-12.164000000000001</v>
      </c>
      <c r="AS50" s="81">
        <v>-17.273906072348932</v>
      </c>
      <c r="AT50" s="81">
        <v>-24.123093927651066</v>
      </c>
      <c r="AU50" s="81">
        <v>-42.466999999999985</v>
      </c>
      <c r="AV50" s="146">
        <v>-96.027999999999992</v>
      </c>
      <c r="AW50" s="81">
        <v>-16.306999999999999</v>
      </c>
      <c r="AX50" s="81">
        <v>-18.733000000000001</v>
      </c>
      <c r="AY50" s="81">
        <v>-15.671999999999997</v>
      </c>
      <c r="AZ50" s="81">
        <v>-44.329000000000008</v>
      </c>
      <c r="BA50" s="146">
        <v>-94.843000000000004</v>
      </c>
      <c r="BB50" s="81">
        <v>-20.379577850000018</v>
      </c>
      <c r="BC50" s="81">
        <v>-30.003361940000012</v>
      </c>
      <c r="BD50" s="81">
        <v>-29.686060209999972</v>
      </c>
      <c r="BE50" s="81">
        <v>-16.820999999999984</v>
      </c>
      <c r="BF50" s="176">
        <v>-96.889999999999986</v>
      </c>
      <c r="BG50" s="81">
        <v>-47.901000000000003</v>
      </c>
      <c r="BH50" s="81">
        <v>-32.823</v>
      </c>
      <c r="BK50" s="210"/>
    </row>
    <row r="51" spans="1:63" ht="16.5" thickBot="1" x14ac:dyDescent="0.45">
      <c r="A51" s="147"/>
      <c r="B51" s="147"/>
      <c r="C51" s="103"/>
      <c r="D51" s="148"/>
      <c r="E51" s="148"/>
      <c r="F51" s="148"/>
      <c r="G51" s="148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K51" s="210"/>
    </row>
    <row r="52" spans="1:63" ht="16.5" thickBot="1" x14ac:dyDescent="0.45">
      <c r="A52" s="1" t="s">
        <v>149</v>
      </c>
      <c r="B52" s="92" t="s">
        <v>150</v>
      </c>
      <c r="C52" s="21"/>
      <c r="D52" s="81">
        <v>13.631793388429752</v>
      </c>
      <c r="E52" s="81">
        <v>43.045206611570244</v>
      </c>
      <c r="F52" s="81">
        <v>-4.3039999999999736</v>
      </c>
      <c r="G52" s="81">
        <v>31.277949988952336</v>
      </c>
      <c r="H52" s="146">
        <f t="shared" ref="H52:W52" si="8">H44+H50</f>
        <v>83.650949988952362</v>
      </c>
      <c r="I52" s="81">
        <f t="shared" si="8"/>
        <v>4.5328256961175182</v>
      </c>
      <c r="J52" s="81">
        <f t="shared" si="8"/>
        <v>1.4761743038824822</v>
      </c>
      <c r="K52" s="81">
        <f t="shared" si="8"/>
        <v>39.119919686152436</v>
      </c>
      <c r="L52" s="81">
        <f t="shared" si="8"/>
        <v>21.476791550110118</v>
      </c>
      <c r="M52" s="146">
        <f t="shared" si="8"/>
        <v>66.602721585105527</v>
      </c>
      <c r="N52" s="81">
        <f t="shared" si="8"/>
        <v>14.372164676425625</v>
      </c>
      <c r="O52" s="81">
        <f t="shared" si="8"/>
        <v>28.605835323574375</v>
      </c>
      <c r="P52" s="81">
        <f t="shared" si="8"/>
        <v>16.504000000000012</v>
      </c>
      <c r="Q52" s="81">
        <f t="shared" si="8"/>
        <v>46.47999999999999</v>
      </c>
      <c r="R52" s="146">
        <f t="shared" si="8"/>
        <v>105.96199999999999</v>
      </c>
      <c r="S52" s="81">
        <f t="shared" si="8"/>
        <v>19.042000000000012</v>
      </c>
      <c r="T52" s="81">
        <f t="shared" si="8"/>
        <v>-8.5716969700000121</v>
      </c>
      <c r="U52" s="81">
        <f t="shared" si="8"/>
        <v>25.381631090197132</v>
      </c>
      <c r="V52" s="81">
        <f t="shared" si="8"/>
        <v>-106.84629489640918</v>
      </c>
      <c r="W52" s="146">
        <f t="shared" si="8"/>
        <v>-70.994360776212034</v>
      </c>
      <c r="X52" s="81">
        <f>X44+X50</f>
        <v>-36.098333873711894</v>
      </c>
      <c r="Y52" s="81">
        <f>Y44+Y50</f>
        <v>-44.656376236407468</v>
      </c>
      <c r="Z52" s="81">
        <f>Z44+Z50</f>
        <v>-32.327309432522469</v>
      </c>
      <c r="AA52" s="81">
        <f>AA44+AA50</f>
        <v>4.3037477265346524</v>
      </c>
      <c r="AB52" s="146">
        <f>AB44+AB50</f>
        <v>-108.77827181610721</v>
      </c>
      <c r="AC52" s="81">
        <v>-15.100419451720285</v>
      </c>
      <c r="AD52" s="81">
        <v>-5.7020343647066412</v>
      </c>
      <c r="AE52" s="81">
        <v>-7.7110083953918647</v>
      </c>
      <c r="AF52" s="81">
        <v>53.080563718832366</v>
      </c>
      <c r="AG52" s="146">
        <v>24.567101507013575</v>
      </c>
      <c r="AH52" s="81">
        <v>-49.133783203442228</v>
      </c>
      <c r="AI52" s="81">
        <v>28.223783203442196</v>
      </c>
      <c r="AJ52" s="81">
        <v>19.612315610000024</v>
      </c>
      <c r="AK52" s="81">
        <f t="shared" si="5"/>
        <v>77.238999999999891</v>
      </c>
      <c r="AL52" s="146">
        <v>75.94131560999989</v>
      </c>
      <c r="AM52" s="81">
        <v>58.028446880000004</v>
      </c>
      <c r="AN52" s="81">
        <v>70.980326919999996</v>
      </c>
      <c r="AO52" s="81">
        <v>116.41991265999995</v>
      </c>
      <c r="AP52" s="81">
        <v>4.3390292335709546</v>
      </c>
      <c r="AQ52" s="146">
        <v>249.76771569357092</v>
      </c>
      <c r="AR52" s="81">
        <v>-98.820275971374073</v>
      </c>
      <c r="AS52" s="81">
        <v>0.64059542254121027</v>
      </c>
      <c r="AT52" s="81">
        <v>-51.426256343104484</v>
      </c>
      <c r="AU52" s="81">
        <v>7.4539368919373317</v>
      </c>
      <c r="AV52" s="146">
        <v>-142.15200000000002</v>
      </c>
      <c r="AW52" s="81">
        <f>AW44+AW50</f>
        <v>-50.952000000000012</v>
      </c>
      <c r="AX52" s="81">
        <f t="shared" ref="AX52:BB52" si="9">AX44+AX50</f>
        <v>24.326580110000027</v>
      </c>
      <c r="AY52" s="81">
        <f t="shared" si="9"/>
        <v>44.646419810116285</v>
      </c>
      <c r="AZ52" s="81">
        <f t="shared" si="9"/>
        <v>-34.462570730000039</v>
      </c>
      <c r="BA52" s="146">
        <f t="shared" si="9"/>
        <v>-16.243570809883735</v>
      </c>
      <c r="BB52" s="81">
        <f t="shared" si="9"/>
        <v>-5.3360847700000207</v>
      </c>
      <c r="BC52" s="81">
        <v>-30.341855020000004</v>
      </c>
      <c r="BD52" s="81">
        <v>-7.6155809699999679</v>
      </c>
      <c r="BE52" s="81">
        <v>-3.3120285499999653</v>
      </c>
      <c r="BF52" s="177">
        <v>-46.605549309999958</v>
      </c>
      <c r="BG52" s="81">
        <v>-76.25705201000001</v>
      </c>
      <c r="BH52" s="81">
        <v>-28.906934109999995</v>
      </c>
      <c r="BK52" s="210"/>
    </row>
    <row r="53" spans="1:63" ht="16.5" thickBot="1" x14ac:dyDescent="0.45">
      <c r="A53" s="147"/>
      <c r="B53" s="147"/>
      <c r="C53" s="103"/>
      <c r="D53" s="148"/>
      <c r="E53" s="148"/>
      <c r="F53" s="148"/>
      <c r="G53" s="148"/>
      <c r="H53" s="149"/>
      <c r="I53" s="149">
        <f>I52-'WEB RENOVABLES'!I62-'WEB CELULOSA'!I67</f>
        <v>-3.244969108357143E-3</v>
      </c>
      <c r="J53" s="149">
        <f>J52-'WEB RENOVABLES'!J62-'WEB CELULOSA'!J67</f>
        <v>-2.1978162368244458E-2</v>
      </c>
      <c r="K53" s="149">
        <f>K52-'WEB RENOVABLES'!K62-'WEB CELULOSA'!K67</f>
        <v>-3.5586104071079205E-2</v>
      </c>
      <c r="L53" s="149">
        <f>L52-'WEB RENOVABLES'!L62-'WEB CELULOSA'!L67</f>
        <v>2.7851840197264792</v>
      </c>
      <c r="M53" s="149"/>
      <c r="N53" s="149">
        <f>N52-'WEB RENOVABLES'!N62-'WEB CELULOSA'!N67</f>
        <v>4.2972137500001395E-2</v>
      </c>
      <c r="O53" s="149">
        <f>O52-'WEB RENOVABLES'!O62-'WEB CELULOSA'!O67</f>
        <v>-4.5258070990048083E-2</v>
      </c>
      <c r="P53" s="149">
        <f>P52-'WEB RENOVABLES'!P62-'WEB CELULOSA'!P67</f>
        <v>8.4020650161420463E-4</v>
      </c>
      <c r="Q53" s="149">
        <f>Q52-'WEB RENOVABLES'!Q62-'WEB CELULOSA'!Q67</f>
        <v>6.9560846957230638E-3</v>
      </c>
      <c r="R53" s="149"/>
      <c r="S53" s="149">
        <f>S52-'WEB RENOVABLES'!S62-'WEB CELULOSA'!S67</f>
        <v>2.1280571328787801E-3</v>
      </c>
      <c r="T53" s="149">
        <f>T52-'WEB RENOVABLES'!T62-'WEB CELULOSA'!T67</f>
        <v>2.4496351135544572</v>
      </c>
      <c r="U53" s="149">
        <f>U52-'WEB RENOVABLES'!U62-'WEB CELULOSA'!U67</f>
        <v>-3.9479692909402786E-2</v>
      </c>
      <c r="V53" s="149">
        <f>V52-'WEB RENOVABLES'!V62-'WEB CELULOSA'!V67</f>
        <v>6.110074407053645E-2</v>
      </c>
      <c r="W53" s="149"/>
      <c r="X53" s="149">
        <f>X52-'WEB RENOVABLES'!X62-'WEB CELULOSA'!X67</f>
        <v>2.4318957058646617E-3</v>
      </c>
      <c r="Y53" s="149">
        <f>Y52-'WEB RENOVABLES'!Y62-'WEB CELULOSA'!Y67</f>
        <v>-1.0265080320564834E-2</v>
      </c>
      <c r="Z53" s="149">
        <f>Z52-'WEB RENOVABLES'!Z62-'WEB CELULOSA'!Z67</f>
        <v>-2.45788896186383E-3</v>
      </c>
      <c r="AA53" s="149">
        <f>AA52-'WEB RENOVABLES'!AA62-'WEB CELULOSA'!AA67</f>
        <v>9.8591464470132451E-4</v>
      </c>
      <c r="AB53" s="149"/>
      <c r="AC53" s="149">
        <f>AC52-'WEB RENOVABLES'!AC62-'WEB CELULOSA'!AC67</f>
        <v>1.8124467632542718E-2</v>
      </c>
      <c r="AD53" s="149">
        <f>AD52-'WEB RENOVABLES'!AD62-'WEB CELULOSA'!AD67</f>
        <v>8.236173284950965E-3</v>
      </c>
      <c r="AE53" s="149">
        <f>AE52-'WEB RENOVABLES'!AE62-'WEB CELULOSA'!AE67</f>
        <v>-4.5353647899695204E-3</v>
      </c>
      <c r="AF53" s="149">
        <f>AF52-'WEB RENOVABLES'!AF62-'WEB CELULOSA'!AF67</f>
        <v>3.1747341990403948</v>
      </c>
      <c r="AG53" s="149"/>
      <c r="AH53" s="149">
        <f>AH52-'WEB RENOVABLES'!AH62-'WEB CELULOSA'!AH67</f>
        <v>-2.2653834422285968E-3</v>
      </c>
      <c r="AI53" s="149">
        <f>AI52-'WEB RENOVABLES'!AI62-'WEB CELULOSA'!AI67</f>
        <v>4.8847907322180362E-3</v>
      </c>
      <c r="AJ53" s="149">
        <f>AJ52-'WEB RENOVABLES'!AJ62-'WEB CELULOSA'!AJ67</f>
        <v>-8.6861543812659647E-3</v>
      </c>
      <c r="AK53" s="149">
        <f>AK52-'WEB RENOVABLES'!AK62-'WEB CELULOSA'!AK67</f>
        <v>5.7274540249530048E-3</v>
      </c>
      <c r="AL53" s="149"/>
      <c r="AM53" s="149">
        <f>AM52-'WEB RENOVABLES'!AM62-'WEB CELULOSA'!AM67</f>
        <v>3.4274401489451378E-3</v>
      </c>
      <c r="AN53" s="149">
        <f>AN52-'WEB RENOVABLES'!AN62-'WEB CELULOSA'!AN67</f>
        <v>-2.7079447937481405E-3</v>
      </c>
      <c r="AO53" s="149">
        <f>AO52-'WEB RENOVABLES'!AO62-'WEB CELULOSA'!AO67</f>
        <v>1.4967659999939542E-2</v>
      </c>
      <c r="AP53" s="149">
        <f>AP52-'WEB RENOVABLES'!AP62-'WEB CELULOSA'!AP67</f>
        <v>-1.3493751599256143E-3</v>
      </c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  <c r="BK53" s="210"/>
    </row>
    <row r="54" spans="1:63" ht="16" x14ac:dyDescent="0.4">
      <c r="A54" s="5" t="s">
        <v>157</v>
      </c>
      <c r="B54" s="5" t="s">
        <v>158</v>
      </c>
      <c r="C54" s="5"/>
      <c r="D54" s="6">
        <v>4.024</v>
      </c>
      <c r="E54" s="6">
        <v>1.000000000000334E-3</v>
      </c>
      <c r="F54" s="6">
        <v>-1.000000000000334E-3</v>
      </c>
      <c r="G54" s="6">
        <v>-9.3999999999999861E-2</v>
      </c>
      <c r="H54" s="7">
        <v>3.93</v>
      </c>
      <c r="I54" s="6">
        <v>-0.72699999999999998</v>
      </c>
      <c r="J54" s="6">
        <v>-0.35799999999999998</v>
      </c>
      <c r="K54" s="6">
        <v>-8.0299999999999994</v>
      </c>
      <c r="L54" s="6">
        <v>6.7999999999998728E-2</v>
      </c>
      <c r="M54" s="7">
        <v>-9.0470000000000006</v>
      </c>
      <c r="N54" s="6">
        <v>6.7000000000000004E-2</v>
      </c>
      <c r="O54" s="6">
        <v>-0.19</v>
      </c>
      <c r="P54" s="6">
        <v>0.63700000000000001</v>
      </c>
      <c r="Q54" s="6">
        <v>-0.746</v>
      </c>
      <c r="R54" s="7">
        <v>-0.23200000000000001</v>
      </c>
      <c r="S54" s="6">
        <v>14.776999999999999</v>
      </c>
      <c r="T54" s="6">
        <v>-8.6999999999999744E-2</v>
      </c>
      <c r="U54" s="6">
        <v>-0.11500000000000021</v>
      </c>
      <c r="V54" s="6">
        <v>-0.51999999999999957</v>
      </c>
      <c r="W54" s="7">
        <v>14.055</v>
      </c>
      <c r="X54" s="6">
        <v>-0.151</v>
      </c>
      <c r="Y54" s="6">
        <v>-10.428000000000001</v>
      </c>
      <c r="Z54" s="6">
        <v>-2.0135724999999933</v>
      </c>
      <c r="AA54" s="6">
        <v>0.56848662999999178</v>
      </c>
      <c r="AB54" s="7">
        <v>-12.024085870000002</v>
      </c>
      <c r="AC54" s="6">
        <v>-1.1669479599999995</v>
      </c>
      <c r="AD54" s="6">
        <v>0.6575703900000025</v>
      </c>
      <c r="AE54" s="6">
        <v>-1.1982639500000076</v>
      </c>
      <c r="AF54" s="6">
        <v>221.46664152</v>
      </c>
      <c r="AG54" s="7">
        <v>219.75899999999999</v>
      </c>
      <c r="AH54" s="6">
        <v>1.5545212500000016</v>
      </c>
      <c r="AI54" s="6">
        <v>-2.8175212500000013</v>
      </c>
      <c r="AJ54" s="6">
        <v>-1.0920000000000005</v>
      </c>
      <c r="AK54" s="6">
        <f t="shared" si="5"/>
        <v>0.17600000000000016</v>
      </c>
      <c r="AL54" s="7">
        <v>-2.1789999999999998</v>
      </c>
      <c r="AM54" s="6">
        <v>1.7609999999999999</v>
      </c>
      <c r="AN54" s="6">
        <v>-0.373</v>
      </c>
      <c r="AO54" s="6">
        <v>-0.30599999999999983</v>
      </c>
      <c r="AP54" s="6">
        <v>-0.95000000000000018</v>
      </c>
      <c r="AQ54" s="7">
        <v>0.13200000000000001</v>
      </c>
      <c r="AR54" s="6">
        <v>6.5629999999999997</v>
      </c>
      <c r="AS54" s="6">
        <v>-0.62099999999999955</v>
      </c>
      <c r="AT54" s="6">
        <v>1.0779999999999994</v>
      </c>
      <c r="AU54" s="6">
        <v>-1.1919999999999993</v>
      </c>
      <c r="AV54" s="7">
        <v>5.8280000000000003</v>
      </c>
      <c r="AW54" s="6">
        <v>1.171</v>
      </c>
      <c r="AX54" s="6">
        <v>0.26800000000000002</v>
      </c>
      <c r="AY54" s="6">
        <v>-0.95200000000000007</v>
      </c>
      <c r="AZ54" s="6">
        <v>0.20799999999999996</v>
      </c>
      <c r="BA54" s="7">
        <v>0.69499999999999995</v>
      </c>
      <c r="BB54" s="6">
        <v>3.5142030000000886E-2</v>
      </c>
      <c r="BC54" s="6">
        <v>-0.69645696999999929</v>
      </c>
      <c r="BD54" s="6">
        <v>-0.20768506000000164</v>
      </c>
      <c r="BE54" s="6">
        <v>-0.31400000000000006</v>
      </c>
      <c r="BF54" s="158">
        <v>-1.1830000000000001</v>
      </c>
      <c r="BG54" s="6">
        <v>-9.2999999999999999E-2</v>
      </c>
      <c r="BH54" s="6">
        <v>-0.18300000000000002</v>
      </c>
      <c r="BK54" s="210"/>
    </row>
    <row r="55" spans="1:63" ht="16" x14ac:dyDescent="0.4">
      <c r="A55" s="9" t="s">
        <v>308</v>
      </c>
      <c r="B55" s="9" t="s">
        <v>309</v>
      </c>
      <c r="C55" s="9"/>
      <c r="D55" s="6">
        <v>-3.2370000000000001</v>
      </c>
      <c r="E55" s="6">
        <v>-14.505000000000001</v>
      </c>
      <c r="F55" s="6">
        <v>42.872</v>
      </c>
      <c r="G55" s="6">
        <v>9.1950000000000074</v>
      </c>
      <c r="H55" s="7">
        <v>34.325000000000003</v>
      </c>
      <c r="I55" s="6">
        <v>-0.31110229007530416</v>
      </c>
      <c r="J55" s="6">
        <v>-14.477897709924695</v>
      </c>
      <c r="K55" s="6">
        <v>-1.1780000000000008</v>
      </c>
      <c r="L55" s="6">
        <v>42.403400961410682</v>
      </c>
      <c r="M55" s="7">
        <v>26.436400961410687</v>
      </c>
      <c r="N55" s="6">
        <v>-0.25963729122153961</v>
      </c>
      <c r="O55" s="6">
        <v>-8.8453627087784614</v>
      </c>
      <c r="P55" s="6">
        <v>-1.0619999999999994</v>
      </c>
      <c r="Q55" s="6">
        <v>-0.63700000000000045</v>
      </c>
      <c r="R55" s="7">
        <v>-10.804</v>
      </c>
      <c r="S55" s="6">
        <v>169.124</v>
      </c>
      <c r="T55" s="6">
        <v>-219.34841584</v>
      </c>
      <c r="U55" s="6">
        <f>4.13973301000001-5.094</f>
        <v>-0.95426698999999005</v>
      </c>
      <c r="V55" s="6">
        <f>261.83061196-5.727</f>
        <v>256.10361196000002</v>
      </c>
      <c r="W55" s="7">
        <f>215.74592913-10.821</f>
        <v>204.92492913000001</v>
      </c>
      <c r="X55" s="6">
        <f>-39.880985175-2.382</f>
        <v>-42.262985174999997</v>
      </c>
      <c r="Y55" s="6">
        <f>-2.029136415-0.491</f>
        <v>-2.5201364150000001</v>
      </c>
      <c r="Z55" s="6">
        <f>50.694999755-0.061</f>
        <v>50.633999754999998</v>
      </c>
      <c r="AA55" s="6">
        <f>21.766998795-5.643</f>
        <v>16.123998794999999</v>
      </c>
      <c r="AB55" s="7">
        <f>30.55187696-8.577</f>
        <v>21.974876960000003</v>
      </c>
      <c r="AC55" s="6">
        <v>68.522326709999987</v>
      </c>
      <c r="AD55" s="6">
        <v>66.702674239999993</v>
      </c>
      <c r="AE55" s="6">
        <v>30.428999130000022</v>
      </c>
      <c r="AF55" s="6">
        <v>-98.170000119999997</v>
      </c>
      <c r="AG55" s="7">
        <v>67.483999960000006</v>
      </c>
      <c r="AH55" s="6">
        <v>-20.370000615000002</v>
      </c>
      <c r="AI55" s="6">
        <v>-117.66099938500003</v>
      </c>
      <c r="AJ55" s="6">
        <v>-22.816999999999979</v>
      </c>
      <c r="AK55" s="6">
        <f t="shared" si="5"/>
        <v>-42.202999999999975</v>
      </c>
      <c r="AL55" s="7">
        <v>-203.05099999999999</v>
      </c>
      <c r="AM55" s="6">
        <v>-25.954999999999998</v>
      </c>
      <c r="AN55" s="6">
        <v>-57.623999999999995</v>
      </c>
      <c r="AO55" s="6">
        <v>-33.957000000000008</v>
      </c>
      <c r="AP55" s="6">
        <v>-31.424000000000007</v>
      </c>
      <c r="AQ55" s="7">
        <v>-149.39099999999999</v>
      </c>
      <c r="AR55" s="6">
        <v>77.566999999999993</v>
      </c>
      <c r="AS55" s="6">
        <v>106.76692827999999</v>
      </c>
      <c r="AT55" s="6">
        <v>-27.013928279999988</v>
      </c>
      <c r="AU55" s="6">
        <v>43.78400000000002</v>
      </c>
      <c r="AV55" s="7">
        <v>201.10400000000001</v>
      </c>
      <c r="AW55" s="6">
        <v>-44.4</v>
      </c>
      <c r="AX55" s="6">
        <v>3.7579999999999956</v>
      </c>
      <c r="AY55" s="6">
        <f>BA55-AW55-AX55-AZ55</f>
        <v>39.028000000000034</v>
      </c>
      <c r="AZ55" s="6">
        <v>-2.8290000000000006</v>
      </c>
      <c r="BA55" s="7">
        <v>-4.4429999999999712</v>
      </c>
      <c r="BB55" s="6">
        <v>32.753</v>
      </c>
      <c r="BC55" s="6">
        <v>-2.049473718396488</v>
      </c>
      <c r="BD55" s="6">
        <v>-10.893526281603513</v>
      </c>
      <c r="BE55" s="6">
        <v>-18.059999999999999</v>
      </c>
      <c r="BF55" s="158">
        <v>1.75</v>
      </c>
      <c r="BG55" s="6">
        <v>43.905999999999999</v>
      </c>
      <c r="BH55" s="6">
        <v>-0.67099999999999937</v>
      </c>
      <c r="BK55" s="210"/>
    </row>
    <row r="56" spans="1:63" ht="16" x14ac:dyDescent="0.4">
      <c r="A56" s="82" t="s">
        <v>310</v>
      </c>
      <c r="B56" s="82" t="s">
        <v>156</v>
      </c>
      <c r="C56" s="17"/>
      <c r="D56" s="6">
        <v>0</v>
      </c>
      <c r="E56" s="6">
        <v>-24.888999999999999</v>
      </c>
      <c r="F56" s="6">
        <v>0</v>
      </c>
      <c r="G56" s="6">
        <v>-10.951000000000004</v>
      </c>
      <c r="H56" s="7">
        <v>-35.840000000000003</v>
      </c>
      <c r="I56" s="6">
        <v>0</v>
      </c>
      <c r="J56" s="6">
        <v>-24.885999999999999</v>
      </c>
      <c r="K56" s="6">
        <v>-1.0000000000012221E-3</v>
      </c>
      <c r="L56" s="6">
        <v>-7.8239999999999981</v>
      </c>
      <c r="M56" s="7">
        <v>-32.710999999999999</v>
      </c>
      <c r="N56" s="6">
        <v>0</v>
      </c>
      <c r="O56" s="6">
        <v>-11.577999999999999</v>
      </c>
      <c r="P56" s="6">
        <v>-12.089000000000002</v>
      </c>
      <c r="Q56" s="6">
        <v>-16.170000000000002</v>
      </c>
      <c r="R56" s="7">
        <v>-39.837000000000003</v>
      </c>
      <c r="S56" s="6">
        <v>0</v>
      </c>
      <c r="T56" s="6">
        <v>-16.158000000000001</v>
      </c>
      <c r="U56" s="6">
        <v>-22.794999999999998</v>
      </c>
      <c r="V56" s="6">
        <v>-28.156999999999996</v>
      </c>
      <c r="W56" s="7">
        <v>-67.11</v>
      </c>
      <c r="X56" s="6">
        <v>0</v>
      </c>
      <c r="Y56" s="6">
        <v>-13.213980189999999</v>
      </c>
      <c r="Z56" s="6">
        <v>-11.037321930000001</v>
      </c>
      <c r="AA56" s="6">
        <v>-1.3540000000000001</v>
      </c>
      <c r="AB56" s="7">
        <v>-25.59030212</v>
      </c>
      <c r="AC56" s="6">
        <v>0</v>
      </c>
      <c r="AD56" s="6">
        <v>0</v>
      </c>
      <c r="AE56" s="6">
        <v>0</v>
      </c>
      <c r="AF56" s="6">
        <v>0</v>
      </c>
      <c r="AG56" s="7">
        <v>0</v>
      </c>
      <c r="AH56" s="6">
        <v>0</v>
      </c>
      <c r="AI56" s="6">
        <v>0</v>
      </c>
      <c r="AJ56" s="6">
        <v>0</v>
      </c>
      <c r="AK56" s="6">
        <v>0</v>
      </c>
      <c r="AL56" s="7">
        <v>0</v>
      </c>
      <c r="AM56" s="6">
        <v>0</v>
      </c>
      <c r="AN56" s="6">
        <v>-13.118997049999896</v>
      </c>
      <c r="AO56" s="6">
        <f>-32.5810029500001-AO57</f>
        <v>-31.600002950000096</v>
      </c>
      <c r="AP56" s="6">
        <v>-21.867999999999995</v>
      </c>
      <c r="AQ56" s="7">
        <f>-67.568-AQ57</f>
        <v>-66.587000000000003</v>
      </c>
      <c r="AR56" s="6">
        <v>-62.868000000000002</v>
      </c>
      <c r="AS56" s="6">
        <v>-77.742627028329025</v>
      </c>
      <c r="AT56" s="6">
        <f>-4.04937297167098-AT57</f>
        <v>1.6270283290200638E-3</v>
      </c>
      <c r="AU56" s="6">
        <v>-8.8817841970012523E-15</v>
      </c>
      <c r="AV56" s="7">
        <v>-140.60900000000001</v>
      </c>
      <c r="AW56" s="6">
        <v>0</v>
      </c>
      <c r="AX56" s="6">
        <v>0</v>
      </c>
      <c r="AY56" s="6">
        <v>-26</v>
      </c>
      <c r="AZ56" s="6">
        <v>-7.972999999999999</v>
      </c>
      <c r="BA56" s="7">
        <v>-33.972999999999999</v>
      </c>
      <c r="BB56" s="6">
        <v>0</v>
      </c>
      <c r="BC56" s="6">
        <v>0</v>
      </c>
      <c r="BD56" s="6">
        <v>-0.441</v>
      </c>
      <c r="BE56" s="6">
        <v>0.441</v>
      </c>
      <c r="BF56" s="158">
        <v>0</v>
      </c>
      <c r="BG56" s="6">
        <v>0</v>
      </c>
      <c r="BH56" s="6">
        <v>0</v>
      </c>
      <c r="BK56" s="210"/>
    </row>
    <row r="57" spans="1:63" s="150" customFormat="1" ht="16.5" thickBot="1" x14ac:dyDescent="0.45">
      <c r="A57" s="82" t="s">
        <v>311</v>
      </c>
      <c r="B57" s="82" t="s">
        <v>312</v>
      </c>
      <c r="C57" s="82"/>
      <c r="D57" s="6">
        <v>0</v>
      </c>
      <c r="E57" s="6">
        <v>0</v>
      </c>
      <c r="F57" s="6">
        <v>0</v>
      </c>
      <c r="G57" s="6">
        <v>0</v>
      </c>
      <c r="H57" s="7">
        <v>0</v>
      </c>
      <c r="I57" s="6">
        <v>0</v>
      </c>
      <c r="J57" s="6">
        <v>0</v>
      </c>
      <c r="K57" s="6">
        <v>0</v>
      </c>
      <c r="L57" s="6">
        <v>0</v>
      </c>
      <c r="M57" s="7">
        <v>0</v>
      </c>
      <c r="N57" s="6">
        <v>0</v>
      </c>
      <c r="O57" s="6">
        <v>0</v>
      </c>
      <c r="P57" s="6">
        <v>0</v>
      </c>
      <c r="Q57" s="6">
        <v>0</v>
      </c>
      <c r="R57" s="7">
        <v>0</v>
      </c>
      <c r="S57" s="6">
        <v>0</v>
      </c>
      <c r="T57" s="6">
        <v>0</v>
      </c>
      <c r="U57" s="6">
        <v>-2.786</v>
      </c>
      <c r="V57" s="6">
        <v>0</v>
      </c>
      <c r="W57" s="7">
        <v>-2.786</v>
      </c>
      <c r="X57" s="6"/>
      <c r="Y57" s="6">
        <v>-0.84499999999999997</v>
      </c>
      <c r="Z57" s="6">
        <v>-0.68400000000000005</v>
      </c>
      <c r="AA57" s="6">
        <v>-0.45600000000000002</v>
      </c>
      <c r="AB57" s="7">
        <v>-2</v>
      </c>
      <c r="AC57" s="6">
        <v>0</v>
      </c>
      <c r="AD57" s="6">
        <v>0</v>
      </c>
      <c r="AE57" s="6">
        <v>-1.1774491455672</v>
      </c>
      <c r="AF57" s="6">
        <v>-0.23100000000000009</v>
      </c>
      <c r="AG57" s="7">
        <v>-1.4084491455672001</v>
      </c>
      <c r="AH57" s="6">
        <v>0</v>
      </c>
      <c r="AI57" s="6">
        <v>0</v>
      </c>
      <c r="AJ57" s="6">
        <v>-0.625</v>
      </c>
      <c r="AK57" s="6">
        <v>-12.740122949980003</v>
      </c>
      <c r="AL57" s="7">
        <v>-13.365122949980003</v>
      </c>
      <c r="AM57" s="6">
        <v>0</v>
      </c>
      <c r="AN57" s="6">
        <v>0</v>
      </c>
      <c r="AO57" s="6">
        <v>-0.98099999999999998</v>
      </c>
      <c r="AP57" s="6">
        <v>0</v>
      </c>
      <c r="AQ57" s="7">
        <v>-0.98099999999999998</v>
      </c>
      <c r="AR57" s="6">
        <v>0</v>
      </c>
      <c r="AS57" s="6">
        <v>0</v>
      </c>
      <c r="AT57" s="6">
        <f>-1.895-2.156</f>
        <v>-4.0510000000000002</v>
      </c>
      <c r="AU57" s="6">
        <v>0</v>
      </c>
      <c r="AV57" s="7">
        <v>-4.0510000000000002</v>
      </c>
      <c r="AW57" s="6">
        <v>0</v>
      </c>
      <c r="AX57" s="6">
        <v>0</v>
      </c>
      <c r="AY57" s="6">
        <v>-5.0999999999999996</v>
      </c>
      <c r="AZ57" s="6">
        <v>0</v>
      </c>
      <c r="BA57" s="7">
        <v>-5.125</v>
      </c>
      <c r="BB57" s="6">
        <v>0</v>
      </c>
      <c r="BC57" s="6">
        <v>0</v>
      </c>
      <c r="BD57" s="6">
        <v>0</v>
      </c>
      <c r="BE57" s="6">
        <v>-0.441</v>
      </c>
      <c r="BF57" s="158">
        <v>-0.441</v>
      </c>
      <c r="BG57" s="6">
        <v>0</v>
      </c>
      <c r="BH57" s="6">
        <v>1E-3</v>
      </c>
      <c r="BK57" s="210"/>
    </row>
    <row r="58" spans="1:63" ht="16.5" thickBot="1" x14ac:dyDescent="0.45">
      <c r="A58" s="145" t="s">
        <v>313</v>
      </c>
      <c r="B58" s="145" t="s">
        <v>314</v>
      </c>
      <c r="C58" s="21"/>
      <c r="D58" s="81">
        <v>0.77799999999999991</v>
      </c>
      <c r="E58" s="81">
        <v>-39.371000000000002</v>
      </c>
      <c r="F58" s="81">
        <v>42.864000000000004</v>
      </c>
      <c r="G58" s="81">
        <v>-1.784000000000006</v>
      </c>
      <c r="H58" s="146">
        <v>2.4869999999999992</v>
      </c>
      <c r="I58" s="81">
        <v>-1.0291022900753042</v>
      </c>
      <c r="J58" s="81">
        <v>-39.73089770992469</v>
      </c>
      <c r="K58" s="81">
        <v>-9.2090000000000032</v>
      </c>
      <c r="L58" s="81">
        <v>34.647400961410682</v>
      </c>
      <c r="M58" s="146">
        <f>SUM(M54:M57)</f>
        <v>-15.321599038589312</v>
      </c>
      <c r="N58" s="81">
        <f>SUM(N54:N57)</f>
        <v>-0.19263729122153961</v>
      </c>
      <c r="O58" s="81">
        <f>SUM(O54:O57)</f>
        <v>-20.61336270877846</v>
      </c>
      <c r="P58" s="81">
        <f>SUM(P54:P57)</f>
        <v>-12.514000000000001</v>
      </c>
      <c r="Q58" s="81">
        <f>SUM(Q54:Q57)</f>
        <v>-17.553000000000001</v>
      </c>
      <c r="R58" s="146">
        <f>SUM(R54:R56)</f>
        <v>-50.873000000000005</v>
      </c>
      <c r="S58" s="81">
        <f>SUM(S54:S57)</f>
        <v>183.90099999999998</v>
      </c>
      <c r="T58" s="81">
        <f>SUM(T54:T57)</f>
        <v>-235.59341583999998</v>
      </c>
      <c r="U58" s="81">
        <f>SUM(U54:U57)</f>
        <v>-26.650266989999992</v>
      </c>
      <c r="V58" s="81">
        <f>SUM(V54:V56)</f>
        <v>227.42661196</v>
      </c>
      <c r="W58" s="146">
        <f>SUM(W54:W57)</f>
        <v>149.08392913</v>
      </c>
      <c r="X58" s="81">
        <f>SUM(X54:X57)</f>
        <v>-42.413985175000001</v>
      </c>
      <c r="Y58" s="81">
        <f t="shared" ref="Y58:AT58" si="10">SUM(Y54:Y57)</f>
        <v>-27.007116605</v>
      </c>
      <c r="Z58" s="81">
        <f t="shared" si="10"/>
        <v>36.899105325000008</v>
      </c>
      <c r="AA58" s="81">
        <f t="shared" si="10"/>
        <v>14.882485424999992</v>
      </c>
      <c r="AB58" s="146">
        <f t="shared" si="10"/>
        <v>-17.639511030000001</v>
      </c>
      <c r="AC58" s="81">
        <f t="shared" si="10"/>
        <v>67.355378749999986</v>
      </c>
      <c r="AD58" s="81">
        <f t="shared" si="10"/>
        <v>67.360244629999997</v>
      </c>
      <c r="AE58" s="81">
        <f t="shared" si="10"/>
        <v>28.053286034432816</v>
      </c>
      <c r="AF58" s="81">
        <f t="shared" si="10"/>
        <v>123.0656414</v>
      </c>
      <c r="AG58" s="146">
        <f t="shared" si="10"/>
        <v>285.83455081443282</v>
      </c>
      <c r="AH58" s="81">
        <f t="shared" si="10"/>
        <v>-18.815479365000002</v>
      </c>
      <c r="AI58" s="81">
        <f t="shared" si="10"/>
        <v>-120.47852063500002</v>
      </c>
      <c r="AJ58" s="81">
        <f t="shared" si="10"/>
        <v>-24.533999999999978</v>
      </c>
      <c r="AK58" s="81">
        <f t="shared" si="10"/>
        <v>-54.767122949979978</v>
      </c>
      <c r="AL58" s="146">
        <f t="shared" si="10"/>
        <v>-218.59512294997998</v>
      </c>
      <c r="AM58" s="81">
        <f t="shared" si="10"/>
        <v>-24.193999999999999</v>
      </c>
      <c r="AN58" s="81">
        <f t="shared" si="10"/>
        <v>-71.115997049999891</v>
      </c>
      <c r="AO58" s="81">
        <f t="shared" si="10"/>
        <v>-66.844002950000089</v>
      </c>
      <c r="AP58" s="81">
        <f t="shared" si="10"/>
        <v>-54.242000000000004</v>
      </c>
      <c r="AQ58" s="146">
        <f t="shared" si="10"/>
        <v>-216.827</v>
      </c>
      <c r="AR58" s="81">
        <f t="shared" si="10"/>
        <v>21.261999999999993</v>
      </c>
      <c r="AS58" s="81">
        <f t="shared" si="10"/>
        <v>28.403301251670968</v>
      </c>
      <c r="AT58" s="81">
        <f t="shared" si="10"/>
        <v>-29.985301251670968</v>
      </c>
      <c r="AU58" s="81">
        <v>42.592000000000013</v>
      </c>
      <c r="AV58" s="146">
        <v>62.272000000000006</v>
      </c>
      <c r="AW58" s="81">
        <f>SUM(AW54:AW57)</f>
        <v>-43.228999999999999</v>
      </c>
      <c r="AX58" s="81">
        <f>SUM(AX54:AX57)</f>
        <v>4.0259999999999954</v>
      </c>
      <c r="AY58" s="81">
        <f>SUM(AY54:AY57)</f>
        <v>6.9760000000000364</v>
      </c>
      <c r="AZ58" s="81">
        <f>SUM(AZ54:AZ57)</f>
        <v>-10.593999999999999</v>
      </c>
      <c r="BA58" s="146">
        <v>-42.845999999999968</v>
      </c>
      <c r="BB58" s="81">
        <f>SUM(BB54:BB57)</f>
        <v>32.788142030000003</v>
      </c>
      <c r="BC58" s="81">
        <v>-2.7459306883964878</v>
      </c>
      <c r="BD58" s="81">
        <v>-11.542211341603515</v>
      </c>
      <c r="BE58" s="81">
        <v>-18.374000000000002</v>
      </c>
      <c r="BF58" s="176">
        <v>0.12599999999999995</v>
      </c>
      <c r="BG58" s="81">
        <v>43.812999999999995</v>
      </c>
      <c r="BH58" s="81">
        <v>-0.85300000000000153</v>
      </c>
      <c r="BK58" s="210"/>
    </row>
    <row r="59" spans="1:63" ht="15" thickBot="1" x14ac:dyDescent="0.4">
      <c r="A59" s="150"/>
      <c r="B59" s="150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>
        <v>0</v>
      </c>
      <c r="V59" s="151">
        <v>0</v>
      </c>
      <c r="W59" s="151"/>
      <c r="X59" s="152"/>
      <c r="Y59" s="152"/>
      <c r="Z59" s="152"/>
      <c r="AA59" s="152"/>
      <c r="AB59" s="152"/>
      <c r="AC59" s="151"/>
      <c r="AD59" s="151"/>
      <c r="AE59" s="151"/>
      <c r="AF59" s="151">
        <v>0</v>
      </c>
      <c r="AG59" s="152"/>
      <c r="AH59" s="151"/>
      <c r="AI59" s="151"/>
      <c r="AJ59" s="151"/>
      <c r="AK59" s="151"/>
      <c r="AL59" s="152"/>
      <c r="AM59" s="151"/>
      <c r="AN59" s="151"/>
      <c r="AO59" s="151"/>
      <c r="AP59" s="151"/>
      <c r="AQ59" s="152"/>
      <c r="AR59" s="151"/>
      <c r="AS59" s="151"/>
      <c r="AT59" s="151"/>
      <c r="AU59" s="151"/>
      <c r="AV59" s="152"/>
      <c r="AW59" s="151"/>
      <c r="AX59" s="151"/>
      <c r="AY59" s="151"/>
      <c r="AZ59" s="151"/>
      <c r="BA59" s="152"/>
      <c r="BB59" s="151"/>
      <c r="BC59" s="151">
        <v>0</v>
      </c>
      <c r="BD59" s="151">
        <v>0</v>
      </c>
      <c r="BE59" s="151">
        <v>0</v>
      </c>
      <c r="BF59" s="152"/>
      <c r="BG59" s="151"/>
      <c r="BH59" s="151"/>
      <c r="BK59" s="210"/>
    </row>
    <row r="60" spans="1:63" ht="16.5" thickBot="1" x14ac:dyDescent="0.45">
      <c r="A60" s="145" t="s">
        <v>315</v>
      </c>
      <c r="B60" s="145" t="s">
        <v>316</v>
      </c>
      <c r="C60" s="21"/>
      <c r="D60" s="81">
        <v>14.427</v>
      </c>
      <c r="E60" s="81">
        <v>3.657</v>
      </c>
      <c r="F60" s="81">
        <v>38.56</v>
      </c>
      <c r="G60" s="81">
        <v>29.493000000000009</v>
      </c>
      <c r="H60" s="146">
        <v>86.137</v>
      </c>
      <c r="I60" s="81">
        <v>3.4947333560422158</v>
      </c>
      <c r="J60" s="81">
        <v>-38.245733356042216</v>
      </c>
      <c r="K60" s="81">
        <v>29.910053962239324</v>
      </c>
      <c r="L60" s="81">
        <v>53.418342308078529</v>
      </c>
      <c r="M60" s="146">
        <v>48.577396270317855</v>
      </c>
      <c r="N60" s="81">
        <v>14.179527385204082</v>
      </c>
      <c r="O60" s="81">
        <v>7.9924726147959149</v>
      </c>
      <c r="P60" s="81">
        <v>3.9899999999999949</v>
      </c>
      <c r="Q60" s="81">
        <v>28.926999999999992</v>
      </c>
      <c r="R60" s="146">
        <v>55.088999999999984</v>
      </c>
      <c r="S60" s="81">
        <v>202.94299999999998</v>
      </c>
      <c r="T60" s="81">
        <v>-244.16511281000001</v>
      </c>
      <c r="U60" s="81">
        <v>-1.2656358998028452</v>
      </c>
      <c r="V60" s="81">
        <v>120.5773170635909</v>
      </c>
      <c r="W60" s="146">
        <v>78.089568353788025</v>
      </c>
      <c r="X60" s="81">
        <v>-78.512319048711902</v>
      </c>
      <c r="Y60" s="81">
        <v>-71.663492841407447</v>
      </c>
      <c r="Z60" s="81">
        <v>4.5717958924775246</v>
      </c>
      <c r="AA60" s="81">
        <v>19.186233151534651</v>
      </c>
      <c r="AB60" s="146">
        <v>-126.41778284610717</v>
      </c>
      <c r="AC60" s="81">
        <v>52.254959298279701</v>
      </c>
      <c r="AD60" s="81">
        <v>61.658210265293363</v>
      </c>
      <c r="AE60" s="81">
        <v>20.34227763904093</v>
      </c>
      <c r="AF60" s="81">
        <v>176.1462051188324</v>
      </c>
      <c r="AG60" s="146">
        <v>310.40165232144636</v>
      </c>
      <c r="AH60" s="81">
        <v>-67.949262568442236</v>
      </c>
      <c r="AI60" s="81">
        <v>-92.254737431557828</v>
      </c>
      <c r="AJ60" s="81">
        <v>-4.921684389999939</v>
      </c>
      <c r="AK60" s="81">
        <f t="shared" si="5"/>
        <v>22.471877050019913</v>
      </c>
      <c r="AL60" s="146">
        <v>-142.65380733998009</v>
      </c>
      <c r="AM60" s="81">
        <v>33.834446880000002</v>
      </c>
      <c r="AN60" s="81">
        <v>-0.13567012999988037</v>
      </c>
      <c r="AO60" s="81">
        <v>49.57590970999982</v>
      </c>
      <c r="AP60" s="81">
        <v>-50.325166386429117</v>
      </c>
      <c r="AQ60" s="146">
        <v>32.940715693570922</v>
      </c>
      <c r="AR60" s="81">
        <v>-77.558275971374087</v>
      </c>
      <c r="AS60" s="81">
        <v>29.043896674212192</v>
      </c>
      <c r="AT60" s="81">
        <v>-81.411557594775445</v>
      </c>
      <c r="AU60" s="81">
        <v>50.04493689193734</v>
      </c>
      <c r="AV60" s="146">
        <v>-79.881</v>
      </c>
      <c r="AW60" s="81">
        <v>-94.176000000000016</v>
      </c>
      <c r="AX60" s="81">
        <v>28.347580110000024</v>
      </c>
      <c r="AY60" s="81">
        <v>51.614419810116296</v>
      </c>
      <c r="AZ60" s="81">
        <v>-45.073570730000014</v>
      </c>
      <c r="BA60" s="146">
        <v>-59.287570809883711</v>
      </c>
      <c r="BB60" s="81">
        <v>27.452057259999982</v>
      </c>
      <c r="BC60" s="81">
        <v>-33.087785708396495</v>
      </c>
      <c r="BD60" s="81">
        <v>-19.15779231160348</v>
      </c>
      <c r="BE60" s="81">
        <v>-21.686028549999968</v>
      </c>
      <c r="BF60" s="176">
        <v>-46.47954930999996</v>
      </c>
      <c r="BG60" s="81">
        <v>-32.444052010000014</v>
      </c>
      <c r="BH60" s="81">
        <v>-29.759934109999996</v>
      </c>
      <c r="BK60" s="210"/>
    </row>
    <row r="61" spans="1:63" ht="15" thickBot="1" x14ac:dyDescent="0.4">
      <c r="C61" s="135"/>
      <c r="BF61" s="135"/>
      <c r="BK61" s="210"/>
    </row>
    <row r="62" spans="1:63" ht="16.5" thickBot="1" x14ac:dyDescent="0.45">
      <c r="A62" s="1" t="s">
        <v>151</v>
      </c>
      <c r="B62" s="92" t="s">
        <v>152</v>
      </c>
      <c r="C62" s="2"/>
      <c r="D62" s="3">
        <f>D76</f>
        <v>0</v>
      </c>
      <c r="E62" s="3">
        <f>E76</f>
        <v>0</v>
      </c>
      <c r="F62" s="3">
        <f>F76</f>
        <v>0</v>
      </c>
      <c r="G62" s="3">
        <f>G76</f>
        <v>0</v>
      </c>
      <c r="H62" s="4">
        <f>H25</f>
        <v>2015</v>
      </c>
      <c r="I62" s="3" t="str">
        <f t="shared" ref="I62:AT62" si="11">I25</f>
        <v>1T16</v>
      </c>
      <c r="J62" s="3" t="str">
        <f t="shared" si="11"/>
        <v>2T16</v>
      </c>
      <c r="K62" s="3" t="str">
        <f t="shared" si="11"/>
        <v>3T16</v>
      </c>
      <c r="L62" s="3" t="str">
        <f t="shared" si="11"/>
        <v>4T16</v>
      </c>
      <c r="M62" s="4">
        <f t="shared" si="11"/>
        <v>2016</v>
      </c>
      <c r="N62" s="3" t="str">
        <f t="shared" si="11"/>
        <v>1T17</v>
      </c>
      <c r="O62" s="3" t="str">
        <f t="shared" si="11"/>
        <v>2T17</v>
      </c>
      <c r="P62" s="3" t="str">
        <f t="shared" si="11"/>
        <v>3T17</v>
      </c>
      <c r="Q62" s="3" t="str">
        <f t="shared" si="11"/>
        <v>4T17</v>
      </c>
      <c r="R62" s="4">
        <f t="shared" si="11"/>
        <v>2017</v>
      </c>
      <c r="S62" s="3" t="str">
        <f t="shared" si="11"/>
        <v>1T18</v>
      </c>
      <c r="T62" s="3" t="str">
        <f t="shared" si="11"/>
        <v>2T18</v>
      </c>
      <c r="U62" s="3" t="str">
        <f t="shared" si="11"/>
        <v>3T18</v>
      </c>
      <c r="V62" s="3" t="str">
        <f t="shared" si="11"/>
        <v>4T18</v>
      </c>
      <c r="W62" s="4">
        <f t="shared" si="11"/>
        <v>2018</v>
      </c>
      <c r="X62" s="3" t="str">
        <f t="shared" si="11"/>
        <v>1T19</v>
      </c>
      <c r="Y62" s="3" t="str">
        <f t="shared" si="11"/>
        <v>2T19</v>
      </c>
      <c r="Z62" s="3" t="str">
        <f t="shared" si="11"/>
        <v>3T19</v>
      </c>
      <c r="AA62" s="3" t="str">
        <f t="shared" si="11"/>
        <v>4T19</v>
      </c>
      <c r="AB62" s="4">
        <f t="shared" si="11"/>
        <v>2019</v>
      </c>
      <c r="AC62" s="3" t="str">
        <f t="shared" si="11"/>
        <v>1T20</v>
      </c>
      <c r="AD62" s="3" t="str">
        <f t="shared" si="11"/>
        <v>2T20</v>
      </c>
      <c r="AE62" s="3" t="str">
        <f t="shared" si="11"/>
        <v>3T20</v>
      </c>
      <c r="AF62" s="3" t="str">
        <f t="shared" si="11"/>
        <v>4T20</v>
      </c>
      <c r="AG62" s="4">
        <f t="shared" si="11"/>
        <v>2020</v>
      </c>
      <c r="AH62" s="3" t="str">
        <f t="shared" si="11"/>
        <v>1T21</v>
      </c>
      <c r="AI62" s="3" t="str">
        <f t="shared" si="11"/>
        <v>2T21</v>
      </c>
      <c r="AJ62" s="3" t="str">
        <f t="shared" si="11"/>
        <v>3T21</v>
      </c>
      <c r="AK62" s="3" t="str">
        <f t="shared" si="11"/>
        <v>4T21</v>
      </c>
      <c r="AL62" s="4">
        <f t="shared" si="11"/>
        <v>2021</v>
      </c>
      <c r="AM62" s="3" t="str">
        <f t="shared" si="11"/>
        <v>1T22</v>
      </c>
      <c r="AN62" s="3" t="str">
        <f t="shared" si="11"/>
        <v>2T22</v>
      </c>
      <c r="AO62" s="3" t="str">
        <f t="shared" si="11"/>
        <v>3T22</v>
      </c>
      <c r="AP62" s="3" t="str">
        <f t="shared" si="11"/>
        <v>4T22</v>
      </c>
      <c r="AQ62" s="4">
        <f t="shared" si="11"/>
        <v>2022</v>
      </c>
      <c r="AR62" s="3" t="str">
        <f t="shared" si="11"/>
        <v>1T23</v>
      </c>
      <c r="AS62" s="3" t="str">
        <f t="shared" si="11"/>
        <v>2T23</v>
      </c>
      <c r="AT62" s="3" t="str">
        <f t="shared" si="11"/>
        <v>3T23</v>
      </c>
      <c r="AU62" s="3" t="s">
        <v>37</v>
      </c>
      <c r="AV62" s="4">
        <v>2023</v>
      </c>
      <c r="AW62" s="3" t="str">
        <f>AW25</f>
        <v>1T24</v>
      </c>
      <c r="AX62" s="3" t="str">
        <f t="shared" ref="AX62:BB62" si="12">AX25</f>
        <v>2T24</v>
      </c>
      <c r="AY62" s="3" t="str">
        <f t="shared" si="12"/>
        <v>3T24</v>
      </c>
      <c r="AZ62" s="3" t="str">
        <f t="shared" si="12"/>
        <v>4T24</v>
      </c>
      <c r="BA62" s="4">
        <f t="shared" si="12"/>
        <v>2024</v>
      </c>
      <c r="BB62" s="3" t="str">
        <f t="shared" si="12"/>
        <v>1T25</v>
      </c>
      <c r="BC62" s="3" t="s">
        <v>383</v>
      </c>
      <c r="BD62" s="3" t="s">
        <v>384</v>
      </c>
      <c r="BE62" s="3" t="s">
        <v>385</v>
      </c>
      <c r="BF62" s="4">
        <v>2025</v>
      </c>
      <c r="BG62" s="3" t="s">
        <v>386</v>
      </c>
      <c r="BH62" s="3" t="s">
        <v>387</v>
      </c>
      <c r="BK62" s="210"/>
    </row>
    <row r="63" spans="1:63" s="82" customFormat="1" ht="18" customHeight="1" x14ac:dyDescent="0.4">
      <c r="A63" s="5" t="s">
        <v>153</v>
      </c>
      <c r="B63" s="5" t="s">
        <v>154</v>
      </c>
      <c r="C63" s="5"/>
      <c r="D63" s="6"/>
      <c r="E63" s="6"/>
      <c r="F63" s="6"/>
      <c r="G63" s="6"/>
      <c r="H63" s="66"/>
      <c r="I63" s="6">
        <f t="shared" ref="I63:AT63" si="13">I52</f>
        <v>4.5328256961175182</v>
      </c>
      <c r="J63" s="6">
        <f t="shared" si="13"/>
        <v>1.4761743038824822</v>
      </c>
      <c r="K63" s="6">
        <f t="shared" si="13"/>
        <v>39.119919686152436</v>
      </c>
      <c r="L63" s="6">
        <f t="shared" si="13"/>
        <v>21.476791550110118</v>
      </c>
      <c r="M63" s="66">
        <f t="shared" si="13"/>
        <v>66.602721585105527</v>
      </c>
      <c r="N63" s="6">
        <f t="shared" si="13"/>
        <v>14.372164676425625</v>
      </c>
      <c r="O63" s="6">
        <f t="shared" si="13"/>
        <v>28.605835323574375</v>
      </c>
      <c r="P63" s="6">
        <f t="shared" si="13"/>
        <v>16.504000000000012</v>
      </c>
      <c r="Q63" s="6">
        <f t="shared" si="13"/>
        <v>46.47999999999999</v>
      </c>
      <c r="R63" s="75">
        <f t="shared" si="13"/>
        <v>105.96199999999999</v>
      </c>
      <c r="S63" s="6">
        <f t="shared" si="13"/>
        <v>19.042000000000012</v>
      </c>
      <c r="T63" s="6">
        <f t="shared" si="13"/>
        <v>-8.5716969700000121</v>
      </c>
      <c r="U63" s="6">
        <f t="shared" si="13"/>
        <v>25.381631090197132</v>
      </c>
      <c r="V63" s="6">
        <f t="shared" si="13"/>
        <v>-106.84629489640918</v>
      </c>
      <c r="W63" s="75">
        <f t="shared" si="13"/>
        <v>-70.994360776212034</v>
      </c>
      <c r="X63" s="6">
        <f t="shared" si="13"/>
        <v>-36.098333873711894</v>
      </c>
      <c r="Y63" s="6">
        <f t="shared" si="13"/>
        <v>-44.656376236407468</v>
      </c>
      <c r="Z63" s="6">
        <f t="shared" si="13"/>
        <v>-32.327309432522469</v>
      </c>
      <c r="AA63" s="6">
        <f t="shared" si="13"/>
        <v>4.3037477265346524</v>
      </c>
      <c r="AB63" s="75">
        <f t="shared" si="13"/>
        <v>-108.77827181610721</v>
      </c>
      <c r="AC63" s="6">
        <f t="shared" si="13"/>
        <v>-15.100419451720285</v>
      </c>
      <c r="AD63" s="6">
        <f t="shared" si="13"/>
        <v>-5.7020343647066412</v>
      </c>
      <c r="AE63" s="6">
        <f t="shared" si="13"/>
        <v>-7.7110083953918647</v>
      </c>
      <c r="AF63" s="6">
        <f t="shared" si="13"/>
        <v>53.080563718832366</v>
      </c>
      <c r="AG63" s="75">
        <f t="shared" si="13"/>
        <v>24.567101507013575</v>
      </c>
      <c r="AH63" s="6">
        <f t="shared" si="13"/>
        <v>-49.133783203442228</v>
      </c>
      <c r="AI63" s="6">
        <f t="shared" si="13"/>
        <v>28.223783203442196</v>
      </c>
      <c r="AJ63" s="6">
        <f t="shared" si="13"/>
        <v>19.612315610000024</v>
      </c>
      <c r="AK63" s="6">
        <f t="shared" si="13"/>
        <v>77.238999999999891</v>
      </c>
      <c r="AL63" s="75">
        <f t="shared" si="13"/>
        <v>75.94131560999989</v>
      </c>
      <c r="AM63" s="6">
        <f t="shared" si="13"/>
        <v>58.028446880000004</v>
      </c>
      <c r="AN63" s="6">
        <f t="shared" si="13"/>
        <v>70.980326919999996</v>
      </c>
      <c r="AO63" s="6">
        <f t="shared" si="13"/>
        <v>116.41991265999995</v>
      </c>
      <c r="AP63" s="6">
        <f t="shared" si="13"/>
        <v>4.3390292335709546</v>
      </c>
      <c r="AQ63" s="75">
        <f t="shared" si="13"/>
        <v>249.76771569357092</v>
      </c>
      <c r="AR63" s="6">
        <f t="shared" si="13"/>
        <v>-98.820275971374073</v>
      </c>
      <c r="AS63" s="6">
        <f t="shared" si="13"/>
        <v>0.64059542254121027</v>
      </c>
      <c r="AT63" s="6">
        <f t="shared" si="13"/>
        <v>-51.426256343104484</v>
      </c>
      <c r="AU63" s="6">
        <v>7.4539368919373317</v>
      </c>
      <c r="AV63" s="75">
        <v>-142.15200000000002</v>
      </c>
      <c r="AW63" s="6">
        <v>-50.952000000000012</v>
      </c>
      <c r="AX63" s="6">
        <v>24.32658011000003</v>
      </c>
      <c r="AY63" s="6">
        <f>AY52</f>
        <v>44.646419810116285</v>
      </c>
      <c r="AZ63" s="6">
        <f>AZ52</f>
        <v>-34.462570730000039</v>
      </c>
      <c r="BA63" s="75">
        <f>BA52</f>
        <v>-16.243570809883735</v>
      </c>
      <c r="BB63" s="6">
        <f>BB52</f>
        <v>-5.3360847700000207</v>
      </c>
      <c r="BC63" s="6">
        <v>-30.341855020000004</v>
      </c>
      <c r="BD63" s="6">
        <v>-7.6155809699999679</v>
      </c>
      <c r="BE63" s="6">
        <v>-3.3120285499999653</v>
      </c>
      <c r="BF63" s="161">
        <v>-46.605549309999958</v>
      </c>
      <c r="BG63" s="6">
        <v>-76.25705201000001</v>
      </c>
      <c r="BH63" s="6">
        <v>-28.906934109999995</v>
      </c>
      <c r="BK63" s="210"/>
    </row>
    <row r="64" spans="1:63" s="82" customFormat="1" ht="18" customHeight="1" x14ac:dyDescent="0.4">
      <c r="A64" s="5" t="s">
        <v>155</v>
      </c>
      <c r="B64" s="5" t="s">
        <v>156</v>
      </c>
      <c r="C64" s="5"/>
      <c r="D64" s="6"/>
      <c r="E64" s="6"/>
      <c r="F64" s="6"/>
      <c r="G64" s="6"/>
      <c r="H64" s="66"/>
      <c r="I64" s="6">
        <f t="shared" ref="I64:AT65" si="14">I56</f>
        <v>0</v>
      </c>
      <c r="J64" s="6">
        <f t="shared" si="14"/>
        <v>-24.885999999999999</v>
      </c>
      <c r="K64" s="6">
        <f t="shared" si="14"/>
        <v>-1.0000000000012221E-3</v>
      </c>
      <c r="L64" s="6">
        <f t="shared" si="14"/>
        <v>-7.8239999999999981</v>
      </c>
      <c r="M64" s="66">
        <f t="shared" si="14"/>
        <v>-32.710999999999999</v>
      </c>
      <c r="N64" s="6">
        <f t="shared" si="14"/>
        <v>0</v>
      </c>
      <c r="O64" s="6">
        <f t="shared" si="14"/>
        <v>-11.577999999999999</v>
      </c>
      <c r="P64" s="6">
        <f t="shared" si="14"/>
        <v>-12.089000000000002</v>
      </c>
      <c r="Q64" s="6">
        <f t="shared" si="14"/>
        <v>-16.170000000000002</v>
      </c>
      <c r="R64" s="75">
        <f t="shared" si="14"/>
        <v>-39.837000000000003</v>
      </c>
      <c r="S64" s="6">
        <f t="shared" si="14"/>
        <v>0</v>
      </c>
      <c r="T64" s="6">
        <f t="shared" si="14"/>
        <v>-16.158000000000001</v>
      </c>
      <c r="U64" s="6">
        <f t="shared" si="14"/>
        <v>-22.794999999999998</v>
      </c>
      <c r="V64" s="6">
        <f t="shared" si="14"/>
        <v>-28.156999999999996</v>
      </c>
      <c r="W64" s="75">
        <f t="shared" si="14"/>
        <v>-67.11</v>
      </c>
      <c r="X64" s="6">
        <f t="shared" si="14"/>
        <v>0</v>
      </c>
      <c r="Y64" s="6">
        <f t="shared" si="14"/>
        <v>-13.213980189999999</v>
      </c>
      <c r="Z64" s="6">
        <f t="shared" si="14"/>
        <v>-11.037321930000001</v>
      </c>
      <c r="AA64" s="6">
        <f t="shared" si="14"/>
        <v>-1.3540000000000001</v>
      </c>
      <c r="AB64" s="75">
        <f t="shared" si="14"/>
        <v>-25.59030212</v>
      </c>
      <c r="AC64" s="6">
        <f t="shared" si="14"/>
        <v>0</v>
      </c>
      <c r="AD64" s="6">
        <f t="shared" si="14"/>
        <v>0</v>
      </c>
      <c r="AE64" s="6">
        <f t="shared" si="14"/>
        <v>0</v>
      </c>
      <c r="AF64" s="6">
        <f t="shared" si="14"/>
        <v>0</v>
      </c>
      <c r="AG64" s="75">
        <f t="shared" si="14"/>
        <v>0</v>
      </c>
      <c r="AH64" s="6">
        <f t="shared" si="14"/>
        <v>0</v>
      </c>
      <c r="AI64" s="6">
        <f t="shared" si="14"/>
        <v>0</v>
      </c>
      <c r="AJ64" s="6">
        <f t="shared" si="14"/>
        <v>0</v>
      </c>
      <c r="AK64" s="6">
        <f t="shared" si="14"/>
        <v>0</v>
      </c>
      <c r="AL64" s="75">
        <f t="shared" si="14"/>
        <v>0</v>
      </c>
      <c r="AM64" s="6">
        <f t="shared" si="14"/>
        <v>0</v>
      </c>
      <c r="AN64" s="6">
        <f t="shared" si="14"/>
        <v>-13.118997049999896</v>
      </c>
      <c r="AO64" s="6">
        <f t="shared" si="14"/>
        <v>-31.600002950000096</v>
      </c>
      <c r="AP64" s="6">
        <f t="shared" si="14"/>
        <v>-21.867999999999995</v>
      </c>
      <c r="AQ64" s="75">
        <f t="shared" si="14"/>
        <v>-66.587000000000003</v>
      </c>
      <c r="AR64" s="6">
        <f t="shared" si="14"/>
        <v>-62.868000000000002</v>
      </c>
      <c r="AS64" s="6">
        <f t="shared" si="14"/>
        <v>-77.742627028329025</v>
      </c>
      <c r="AT64" s="6">
        <f t="shared" si="14"/>
        <v>1.6270283290200638E-3</v>
      </c>
      <c r="AU64" s="6">
        <v>-8.8817841970012523E-15</v>
      </c>
      <c r="AV64" s="75">
        <v>-140.60900000000001</v>
      </c>
      <c r="AW64" s="6">
        <v>0</v>
      </c>
      <c r="AX64" s="6">
        <v>0</v>
      </c>
      <c r="AY64" s="6">
        <f t="shared" ref="AY64:BB65" si="15">AY56</f>
        <v>-26</v>
      </c>
      <c r="AZ64" s="6">
        <f t="shared" si="15"/>
        <v>-7.972999999999999</v>
      </c>
      <c r="BA64" s="75">
        <f t="shared" si="15"/>
        <v>-33.972999999999999</v>
      </c>
      <c r="BB64" s="6">
        <f t="shared" si="15"/>
        <v>0</v>
      </c>
      <c r="BC64" s="6">
        <v>0</v>
      </c>
      <c r="BD64" s="6">
        <v>-0.441</v>
      </c>
      <c r="BE64" s="6">
        <v>0.441</v>
      </c>
      <c r="BF64" s="161">
        <v>0</v>
      </c>
      <c r="BG64" s="6">
        <v>0</v>
      </c>
      <c r="BH64" s="6">
        <v>0</v>
      </c>
      <c r="BK64" s="210"/>
    </row>
    <row r="65" spans="1:63" s="82" customFormat="1" ht="18" customHeight="1" x14ac:dyDescent="0.4">
      <c r="A65" s="5" t="s">
        <v>311</v>
      </c>
      <c r="B65" s="5" t="s">
        <v>244</v>
      </c>
      <c r="C65" s="5"/>
      <c r="D65" s="6"/>
      <c r="E65" s="6"/>
      <c r="F65" s="6"/>
      <c r="G65" s="6"/>
      <c r="H65" s="66"/>
      <c r="I65" s="6">
        <f t="shared" si="14"/>
        <v>0</v>
      </c>
      <c r="J65" s="6">
        <f t="shared" si="14"/>
        <v>0</v>
      </c>
      <c r="K65" s="6">
        <f t="shared" si="14"/>
        <v>0</v>
      </c>
      <c r="L65" s="6">
        <f t="shared" si="14"/>
        <v>0</v>
      </c>
      <c r="M65" s="66">
        <f t="shared" si="14"/>
        <v>0</v>
      </c>
      <c r="N65" s="6">
        <f t="shared" si="14"/>
        <v>0</v>
      </c>
      <c r="O65" s="6">
        <f t="shared" si="14"/>
        <v>0</v>
      </c>
      <c r="P65" s="6">
        <f t="shared" si="14"/>
        <v>0</v>
      </c>
      <c r="Q65" s="6">
        <f t="shared" si="14"/>
        <v>0</v>
      </c>
      <c r="R65" s="75">
        <f t="shared" si="14"/>
        <v>0</v>
      </c>
      <c r="S65" s="6">
        <f t="shared" si="14"/>
        <v>0</v>
      </c>
      <c r="T65" s="6">
        <f t="shared" si="14"/>
        <v>0</v>
      </c>
      <c r="U65" s="6">
        <f t="shared" si="14"/>
        <v>-2.786</v>
      </c>
      <c r="V65" s="6">
        <f t="shared" si="14"/>
        <v>0</v>
      </c>
      <c r="W65" s="75">
        <f t="shared" si="14"/>
        <v>-2.786</v>
      </c>
      <c r="X65" s="6">
        <f t="shared" si="14"/>
        <v>0</v>
      </c>
      <c r="Y65" s="6">
        <f t="shared" si="14"/>
        <v>-0.84499999999999997</v>
      </c>
      <c r="Z65" s="6">
        <f t="shared" si="14"/>
        <v>-0.68400000000000005</v>
      </c>
      <c r="AA65" s="6">
        <f t="shared" si="14"/>
        <v>-0.45600000000000002</v>
      </c>
      <c r="AB65" s="75">
        <f t="shared" si="14"/>
        <v>-2</v>
      </c>
      <c r="AC65" s="6">
        <f t="shared" si="14"/>
        <v>0</v>
      </c>
      <c r="AD65" s="6">
        <f t="shared" si="14"/>
        <v>0</v>
      </c>
      <c r="AE65" s="6">
        <f t="shared" si="14"/>
        <v>-1.1774491455672</v>
      </c>
      <c r="AF65" s="6">
        <f t="shared" si="14"/>
        <v>-0.23100000000000009</v>
      </c>
      <c r="AG65" s="75">
        <f t="shared" si="14"/>
        <v>-1.4084491455672001</v>
      </c>
      <c r="AH65" s="6">
        <f t="shared" si="14"/>
        <v>0</v>
      </c>
      <c r="AI65" s="6">
        <f t="shared" si="14"/>
        <v>0</v>
      </c>
      <c r="AJ65" s="6">
        <f t="shared" si="14"/>
        <v>-0.625</v>
      </c>
      <c r="AK65" s="6">
        <f t="shared" si="14"/>
        <v>-12.740122949980003</v>
      </c>
      <c r="AL65" s="75">
        <f t="shared" si="14"/>
        <v>-13.365122949980003</v>
      </c>
      <c r="AM65" s="6">
        <f t="shared" si="14"/>
        <v>0</v>
      </c>
      <c r="AN65" s="6">
        <f t="shared" si="14"/>
        <v>0</v>
      </c>
      <c r="AO65" s="6">
        <f t="shared" si="14"/>
        <v>-0.98099999999999998</v>
      </c>
      <c r="AP65" s="6">
        <f t="shared" si="14"/>
        <v>0</v>
      </c>
      <c r="AQ65" s="75">
        <f t="shared" si="14"/>
        <v>-0.98099999999999998</v>
      </c>
      <c r="AR65" s="6">
        <f t="shared" si="14"/>
        <v>0</v>
      </c>
      <c r="AS65" s="6">
        <f t="shared" si="14"/>
        <v>0</v>
      </c>
      <c r="AT65" s="6">
        <f t="shared" si="14"/>
        <v>-4.0510000000000002</v>
      </c>
      <c r="AU65" s="6">
        <v>0</v>
      </c>
      <c r="AV65" s="75">
        <v>-4.0510000000000002</v>
      </c>
      <c r="AW65" s="6">
        <v>0</v>
      </c>
      <c r="AX65" s="6">
        <v>0</v>
      </c>
      <c r="AY65" s="6">
        <f t="shared" si="15"/>
        <v>-5.0999999999999996</v>
      </c>
      <c r="AZ65" s="6">
        <f t="shared" si="15"/>
        <v>0</v>
      </c>
      <c r="BA65" s="75">
        <f t="shared" si="15"/>
        <v>-5.125</v>
      </c>
      <c r="BB65" s="6">
        <f t="shared" si="15"/>
        <v>0</v>
      </c>
      <c r="BC65" s="6">
        <v>0</v>
      </c>
      <c r="BD65" s="6">
        <v>0</v>
      </c>
      <c r="BE65" s="6">
        <v>-0.441</v>
      </c>
      <c r="BF65" s="161">
        <v>-0.441</v>
      </c>
      <c r="BG65" s="6">
        <v>0</v>
      </c>
      <c r="BH65" s="6">
        <v>1E-3</v>
      </c>
      <c r="BK65" s="210"/>
    </row>
    <row r="66" spans="1:63" s="82" customFormat="1" ht="18" customHeight="1" x14ac:dyDescent="0.4">
      <c r="A66" s="5" t="s">
        <v>157</v>
      </c>
      <c r="B66" s="5" t="s">
        <v>158</v>
      </c>
      <c r="C66" s="5"/>
      <c r="D66" s="6"/>
      <c r="E66" s="6"/>
      <c r="F66" s="6"/>
      <c r="G66" s="6"/>
      <c r="H66" s="66"/>
      <c r="I66" s="6">
        <f t="shared" ref="I66:AT66" si="16">I54</f>
        <v>-0.72699999999999998</v>
      </c>
      <c r="J66" s="6">
        <f t="shared" si="16"/>
        <v>-0.35799999999999998</v>
      </c>
      <c r="K66" s="6">
        <f t="shared" si="16"/>
        <v>-8.0299999999999994</v>
      </c>
      <c r="L66" s="6">
        <f t="shared" si="16"/>
        <v>6.7999999999998728E-2</v>
      </c>
      <c r="M66" s="66">
        <f t="shared" si="16"/>
        <v>-9.0470000000000006</v>
      </c>
      <c r="N66" s="6">
        <f t="shared" si="16"/>
        <v>6.7000000000000004E-2</v>
      </c>
      <c r="O66" s="6">
        <f t="shared" si="16"/>
        <v>-0.19</v>
      </c>
      <c r="P66" s="6">
        <f t="shared" si="16"/>
        <v>0.63700000000000001</v>
      </c>
      <c r="Q66" s="6">
        <f t="shared" si="16"/>
        <v>-0.746</v>
      </c>
      <c r="R66" s="75">
        <f t="shared" si="16"/>
        <v>-0.23200000000000001</v>
      </c>
      <c r="S66" s="6">
        <f t="shared" si="16"/>
        <v>14.776999999999999</v>
      </c>
      <c r="T66" s="6">
        <f t="shared" si="16"/>
        <v>-8.6999999999999744E-2</v>
      </c>
      <c r="U66" s="6">
        <f t="shared" si="16"/>
        <v>-0.11500000000000021</v>
      </c>
      <c r="V66" s="6">
        <f t="shared" si="16"/>
        <v>-0.51999999999999957</v>
      </c>
      <c r="W66" s="75">
        <f t="shared" si="16"/>
        <v>14.055</v>
      </c>
      <c r="X66" s="6">
        <f t="shared" si="16"/>
        <v>-0.151</v>
      </c>
      <c r="Y66" s="6">
        <f t="shared" si="16"/>
        <v>-10.428000000000001</v>
      </c>
      <c r="Z66" s="6">
        <f t="shared" si="16"/>
        <v>-2.0135724999999933</v>
      </c>
      <c r="AA66" s="6">
        <f t="shared" si="16"/>
        <v>0.56848662999999178</v>
      </c>
      <c r="AB66" s="75">
        <f t="shared" si="16"/>
        <v>-12.024085870000002</v>
      </c>
      <c r="AC66" s="6">
        <f t="shared" si="16"/>
        <v>-1.1669479599999995</v>
      </c>
      <c r="AD66" s="6">
        <f t="shared" si="16"/>
        <v>0.6575703900000025</v>
      </c>
      <c r="AE66" s="6">
        <f t="shared" si="16"/>
        <v>-1.1982639500000076</v>
      </c>
      <c r="AF66" s="6">
        <f t="shared" si="16"/>
        <v>221.46664152</v>
      </c>
      <c r="AG66" s="75">
        <f t="shared" si="16"/>
        <v>219.75899999999999</v>
      </c>
      <c r="AH66" s="6">
        <f t="shared" si="16"/>
        <v>1.5545212500000016</v>
      </c>
      <c r="AI66" s="6">
        <f t="shared" si="16"/>
        <v>-2.8175212500000013</v>
      </c>
      <c r="AJ66" s="6">
        <f t="shared" si="16"/>
        <v>-1.0920000000000005</v>
      </c>
      <c r="AK66" s="6">
        <f t="shared" si="16"/>
        <v>0.17600000000000016</v>
      </c>
      <c r="AL66" s="75">
        <f t="shared" si="16"/>
        <v>-2.1789999999999998</v>
      </c>
      <c r="AM66" s="6">
        <f t="shared" si="16"/>
        <v>1.7609999999999999</v>
      </c>
      <c r="AN66" s="6">
        <f t="shared" si="16"/>
        <v>-0.373</v>
      </c>
      <c r="AO66" s="6">
        <f t="shared" si="16"/>
        <v>-0.30599999999999983</v>
      </c>
      <c r="AP66" s="6">
        <f t="shared" si="16"/>
        <v>-0.95000000000000018</v>
      </c>
      <c r="AQ66" s="75">
        <f t="shared" si="16"/>
        <v>0.13200000000000001</v>
      </c>
      <c r="AR66" s="6">
        <f t="shared" si="16"/>
        <v>6.5629999999999997</v>
      </c>
      <c r="AS66" s="6">
        <f t="shared" si="16"/>
        <v>-0.62099999999999955</v>
      </c>
      <c r="AT66" s="6">
        <f t="shared" si="16"/>
        <v>1.0779999999999994</v>
      </c>
      <c r="AU66" s="6">
        <v>-1.1919999999999993</v>
      </c>
      <c r="AV66" s="75">
        <v>5.8280000000000003</v>
      </c>
      <c r="AW66" s="6">
        <v>1.171</v>
      </c>
      <c r="AX66" s="6">
        <v>0.26800000000000002</v>
      </c>
      <c r="AY66" s="6">
        <f>AY54</f>
        <v>-0.95200000000000007</v>
      </c>
      <c r="AZ66" s="6">
        <f t="shared" ref="AZ66:BB66" si="17">AZ54</f>
        <v>0.20799999999999996</v>
      </c>
      <c r="BA66" s="75">
        <f t="shared" si="17"/>
        <v>0.69499999999999995</v>
      </c>
      <c r="BB66" s="6">
        <f t="shared" si="17"/>
        <v>3.5142030000000886E-2</v>
      </c>
      <c r="BC66" s="6">
        <v>-0.69645696999999929</v>
      </c>
      <c r="BD66" s="6">
        <v>-0.20768506000000164</v>
      </c>
      <c r="BE66" s="6">
        <v>-0.31400000000000006</v>
      </c>
      <c r="BF66" s="161">
        <v>-1.1830000000000001</v>
      </c>
      <c r="BG66" s="6">
        <v>-9.2999999999999999E-2</v>
      </c>
      <c r="BH66" s="6">
        <v>-0.18300000000000002</v>
      </c>
      <c r="BK66" s="210"/>
    </row>
    <row r="67" spans="1:63" s="45" customFormat="1" ht="16" x14ac:dyDescent="0.4">
      <c r="A67" s="82" t="s">
        <v>159</v>
      </c>
      <c r="B67" s="5" t="s">
        <v>317</v>
      </c>
      <c r="D67" s="83"/>
      <c r="E67" s="83"/>
      <c r="F67" s="83"/>
      <c r="G67" s="83"/>
      <c r="H67" s="84"/>
      <c r="I67" s="53">
        <f t="shared" ref="I67:AT67" si="18">I68-I63-I64-I65-I66</f>
        <v>-4.4768256961175386</v>
      </c>
      <c r="J67" s="53">
        <f t="shared" si="18"/>
        <v>6.2278256961174696</v>
      </c>
      <c r="K67" s="53">
        <f t="shared" si="18"/>
        <v>-5.2179196861523405</v>
      </c>
      <c r="L67" s="53">
        <f t="shared" si="18"/>
        <v>1.5272084498898435</v>
      </c>
      <c r="M67" s="54">
        <f t="shared" si="18"/>
        <v>-1.9367215851055413</v>
      </c>
      <c r="N67" s="53">
        <f t="shared" si="18"/>
        <v>-4.1331646764256131</v>
      </c>
      <c r="O67" s="53">
        <f t="shared" si="18"/>
        <v>3.1181646764255846</v>
      </c>
      <c r="P67" s="53">
        <f t="shared" si="18"/>
        <v>-0.4889999999999648</v>
      </c>
      <c r="Q67" s="53">
        <f t="shared" si="18"/>
        <v>0.77100000000004831</v>
      </c>
      <c r="R67" s="85">
        <f t="shared" si="18"/>
        <v>-0.73299999999993237</v>
      </c>
      <c r="S67" s="53">
        <f t="shared" si="18"/>
        <v>-6.277999999999901</v>
      </c>
      <c r="T67" s="53">
        <f t="shared" si="18"/>
        <v>-1.9173030300001095</v>
      </c>
      <c r="U67" s="53">
        <f t="shared" si="18"/>
        <v>-4.1186310901972121</v>
      </c>
      <c r="V67" s="53">
        <f t="shared" si="18"/>
        <v>-12.540705103590849</v>
      </c>
      <c r="W67" s="75">
        <f t="shared" si="18"/>
        <v>-24.854639223788077</v>
      </c>
      <c r="X67" s="86">
        <f t="shared" si="18"/>
        <v>-59.070666126288039</v>
      </c>
      <c r="Y67" s="53">
        <f t="shared" si="18"/>
        <v>4.4393564264075733</v>
      </c>
      <c r="Z67" s="53">
        <f t="shared" si="18"/>
        <v>-7.5787961374776138</v>
      </c>
      <c r="AA67" s="53">
        <f t="shared" si="18"/>
        <v>2.7167656434654659</v>
      </c>
      <c r="AB67" s="75">
        <f t="shared" si="18"/>
        <v>-59.493340193892585</v>
      </c>
      <c r="AC67" s="53">
        <f t="shared" si="18"/>
        <v>-4.9226325882797699</v>
      </c>
      <c r="AD67" s="53">
        <f t="shared" si="18"/>
        <v>-1.0855360252934705</v>
      </c>
      <c r="AE67" s="53">
        <f t="shared" si="18"/>
        <v>-6.1242785090409404</v>
      </c>
      <c r="AF67" s="53">
        <f t="shared" si="18"/>
        <v>113.33179476116777</v>
      </c>
      <c r="AG67" s="75">
        <f t="shared" si="18"/>
        <v>101.19934763855358</v>
      </c>
      <c r="AH67" s="53">
        <f t="shared" si="18"/>
        <v>-11.213738046557895</v>
      </c>
      <c r="AI67" s="53">
        <f t="shared" si="18"/>
        <v>25.881738046557874</v>
      </c>
      <c r="AJ67" s="53">
        <f t="shared" si="18"/>
        <v>-3.9933156100001508</v>
      </c>
      <c r="AK67" s="53">
        <f t="shared" si="18"/>
        <v>-4.1608770500198204</v>
      </c>
      <c r="AL67" s="85">
        <f t="shared" si="18"/>
        <v>6.5138073399800014</v>
      </c>
      <c r="AM67" s="53">
        <f t="shared" si="18"/>
        <v>-4.625446880000017</v>
      </c>
      <c r="AN67" s="53">
        <f t="shared" si="18"/>
        <v>-0.80932987000012635</v>
      </c>
      <c r="AO67" s="53">
        <f t="shared" si="18"/>
        <v>-21.674909709999792</v>
      </c>
      <c r="AP67" s="53">
        <f t="shared" si="18"/>
        <v>-23.562029233571014</v>
      </c>
      <c r="AQ67" s="85">
        <f t="shared" si="18"/>
        <v>-50.671715693570945</v>
      </c>
      <c r="AR67" s="53">
        <f t="shared" si="18"/>
        <v>-2.5067240286259294</v>
      </c>
      <c r="AS67" s="53">
        <f t="shared" si="18"/>
        <v>-4.2659683942121047</v>
      </c>
      <c r="AT67" s="53">
        <f t="shared" si="18"/>
        <v>-19.547370685224468</v>
      </c>
      <c r="AU67" s="53">
        <v>-2.3229368919374158</v>
      </c>
      <c r="AV67" s="85">
        <v>-28.642999999999926</v>
      </c>
      <c r="AW67" s="53">
        <v>6.2479999999999398</v>
      </c>
      <c r="AX67" s="53">
        <v>19.84841989000001</v>
      </c>
      <c r="AY67" s="53">
        <f>AY68-AY63-AY64-AY65-AY66</f>
        <v>-12.202419810116233</v>
      </c>
      <c r="AZ67" s="53">
        <f>AZ68-AZ63-AZ64-AZ65-AZ66</f>
        <v>-0.57842926999994559</v>
      </c>
      <c r="BA67" s="85">
        <f>BA68-BA63-BA64-BA65-BA66</f>
        <v>13.142570809883772</v>
      </c>
      <c r="BB67" s="53">
        <f>BB68-BB63-BB64-BB65-BB66</f>
        <v>-4.9720572600000619</v>
      </c>
      <c r="BC67" s="53">
        <v>-1.3688009999903827E-2</v>
      </c>
      <c r="BD67" s="53">
        <v>3.8822660299999643</v>
      </c>
      <c r="BE67" s="53">
        <v>-7.6039714500000528</v>
      </c>
      <c r="BF67" s="178">
        <v>-8.7074506900000532</v>
      </c>
      <c r="BG67" s="53">
        <v>-7.5939479899999505</v>
      </c>
      <c r="BH67" s="53">
        <v>-1.5470658900001999</v>
      </c>
      <c r="BK67" s="210"/>
    </row>
    <row r="68" spans="1:63" s="45" customFormat="1" ht="16" x14ac:dyDescent="0.4">
      <c r="A68" s="47" t="s">
        <v>161</v>
      </c>
      <c r="B68" s="47" t="s">
        <v>162</v>
      </c>
      <c r="C68" s="87"/>
      <c r="D68" s="88"/>
      <c r="E68" s="88"/>
      <c r="F68" s="88"/>
      <c r="G68" s="88"/>
      <c r="H68" s="89"/>
      <c r="I68" s="48">
        <f>-I111+H111</f>
        <v>-0.67100000000002069</v>
      </c>
      <c r="J68" s="48">
        <f>-J111+I111</f>
        <v>-17.540000000000049</v>
      </c>
      <c r="K68" s="48">
        <f>-K111+J111</f>
        <v>25.871000000000095</v>
      </c>
      <c r="L68" s="48">
        <f>-L111+K111</f>
        <v>15.247999999999962</v>
      </c>
      <c r="M68" s="69">
        <f>-M111+H111</f>
        <v>22.907999999999987</v>
      </c>
      <c r="N68" s="48">
        <f>-N111+M111</f>
        <v>10.306000000000012</v>
      </c>
      <c r="O68" s="48">
        <f>-O111+N111</f>
        <v>19.95599999999996</v>
      </c>
      <c r="P68" s="48">
        <f>-P111+O111</f>
        <v>4.563000000000045</v>
      </c>
      <c r="Q68" s="48">
        <f>-Q111+P111</f>
        <v>30.335000000000036</v>
      </c>
      <c r="R68" s="69">
        <f>-R111+M111</f>
        <v>65.160000000000053</v>
      </c>
      <c r="S68" s="48">
        <f>-S111+R111</f>
        <v>27.541000000000111</v>
      </c>
      <c r="T68" s="48">
        <f>-T111+S111</f>
        <v>-26.734000000000123</v>
      </c>
      <c r="U68" s="48">
        <f>-U111+T111</f>
        <v>-4.433000000000078</v>
      </c>
      <c r="V68" s="48">
        <f>-V111+U111</f>
        <v>-148.06400000000002</v>
      </c>
      <c r="W68" s="69">
        <f>-W111+R111</f>
        <v>-151.69000000000011</v>
      </c>
      <c r="X68" s="48">
        <f>-X111+W111</f>
        <v>-95.319999999999936</v>
      </c>
      <c r="Y68" s="48">
        <f>-Y111+X111</f>
        <v>-64.703999999999894</v>
      </c>
      <c r="Z68" s="48">
        <f>-Z111+Y111</f>
        <v>-53.641000000000076</v>
      </c>
      <c r="AA68" s="48">
        <f>-AA111+Z111</f>
        <v>5.77900000000011</v>
      </c>
      <c r="AB68" s="69">
        <f>-AB111+W111</f>
        <v>-207.8859999999998</v>
      </c>
      <c r="AC68" s="48">
        <f>-AC111+AB111</f>
        <v>-21.190000000000055</v>
      </c>
      <c r="AD68" s="48">
        <f>-AD111+AC111</f>
        <v>-6.1300000000001091</v>
      </c>
      <c r="AE68" s="48">
        <f>-AE111+AD111</f>
        <v>-16.211000000000013</v>
      </c>
      <c r="AF68" s="48">
        <f>-AF111+AE111</f>
        <v>387.64800000000014</v>
      </c>
      <c r="AG68" s="69">
        <f>-AG111+AB111</f>
        <v>344.11699999999996</v>
      </c>
      <c r="AH68" s="48">
        <f>-AH111+AG111</f>
        <v>-58.79300000000012</v>
      </c>
      <c r="AI68" s="48">
        <f>-AI111+AH111</f>
        <v>51.288000000000068</v>
      </c>
      <c r="AJ68" s="48">
        <f>-AJ111+AI111</f>
        <v>13.901999999999873</v>
      </c>
      <c r="AK68" s="48">
        <f>-AK111+AJ111</f>
        <v>60.514000000000067</v>
      </c>
      <c r="AL68" s="69">
        <f>-AL111+AG111</f>
        <v>66.910999999999888</v>
      </c>
      <c r="AM68" s="48">
        <f>-AM111+AL111</f>
        <v>55.163999999999987</v>
      </c>
      <c r="AN68" s="48">
        <f>-AN111+AM111</f>
        <v>56.678999999999974</v>
      </c>
      <c r="AO68" s="48">
        <f>-AO111+AN111</f>
        <v>61.858000000000061</v>
      </c>
      <c r="AP68" s="48">
        <f>-AP111+AO111</f>
        <v>-42.041000000000054</v>
      </c>
      <c r="AQ68" s="69">
        <f>-AQ111+AL111</f>
        <v>131.65999999999997</v>
      </c>
      <c r="AR68" s="48">
        <f>-AR111+AQ111</f>
        <v>-157.63200000000001</v>
      </c>
      <c r="AS68" s="48">
        <f>-AS111+AR111</f>
        <v>-81.988999999999919</v>
      </c>
      <c r="AT68" s="48">
        <f>-AT111+AS111</f>
        <v>-73.944999999999936</v>
      </c>
      <c r="AU68" s="48">
        <v>3.9389999999999077</v>
      </c>
      <c r="AV68" s="69">
        <v>-309.62699999999995</v>
      </c>
      <c r="AW68" s="48">
        <v>-43.533000000000072</v>
      </c>
      <c r="AX68" s="48">
        <v>44.44300000000004</v>
      </c>
      <c r="AY68" s="48">
        <f>-AY111+AX111</f>
        <v>0.39200000000005275</v>
      </c>
      <c r="AZ68" s="48">
        <f>-AZ111+AY111</f>
        <v>-42.805999999999983</v>
      </c>
      <c r="BA68" s="69">
        <f>-BA111+AV111</f>
        <v>-41.503999999999962</v>
      </c>
      <c r="BB68" s="48">
        <f t="shared" ref="BB68:BC68" si="19">-BB111+BA111</f>
        <v>-10.273000000000081</v>
      </c>
      <c r="BC68" s="48">
        <f t="shared" si="19"/>
        <v>-31.051999999999907</v>
      </c>
      <c r="BD68" s="48">
        <f>-BD111+BC111</f>
        <v>-4.382000000000005</v>
      </c>
      <c r="BE68" s="48">
        <v>-11.230000000000018</v>
      </c>
      <c r="BF68" s="179">
        <v>-56.937000000000012</v>
      </c>
      <c r="BG68" s="48">
        <v>-83.94399999999996</v>
      </c>
      <c r="BH68" s="48">
        <v>-30.636000000000195</v>
      </c>
      <c r="BK68" s="210"/>
    </row>
    <row r="69" spans="1:63" ht="15" thickBot="1" x14ac:dyDescent="0.4">
      <c r="C69" s="135"/>
      <c r="AW69" s="153"/>
      <c r="BF69" s="135"/>
      <c r="BK69" s="210"/>
    </row>
    <row r="70" spans="1:63" ht="16.5" thickBot="1" x14ac:dyDescent="0.45">
      <c r="A70" s="1" t="s">
        <v>318</v>
      </c>
      <c r="B70" s="92" t="s">
        <v>319</v>
      </c>
      <c r="C70" s="2"/>
      <c r="D70" s="3" t="str">
        <f t="shared" ref="D70:AT70" si="20">D1</f>
        <v>1T15</v>
      </c>
      <c r="E70" s="3" t="str">
        <f t="shared" si="20"/>
        <v>2T15</v>
      </c>
      <c r="F70" s="3" t="str">
        <f t="shared" si="20"/>
        <v>3T15</v>
      </c>
      <c r="G70" s="3" t="str">
        <f t="shared" si="20"/>
        <v>4T15</v>
      </c>
      <c r="H70" s="4">
        <f t="shared" si="20"/>
        <v>2015</v>
      </c>
      <c r="I70" s="3" t="str">
        <f t="shared" si="20"/>
        <v>1T16</v>
      </c>
      <c r="J70" s="3" t="str">
        <f t="shared" si="20"/>
        <v>2T16</v>
      </c>
      <c r="K70" s="3" t="str">
        <f t="shared" si="20"/>
        <v>3T16</v>
      </c>
      <c r="L70" s="3" t="str">
        <f t="shared" si="20"/>
        <v>4T16</v>
      </c>
      <c r="M70" s="4">
        <f t="shared" si="20"/>
        <v>2016</v>
      </c>
      <c r="N70" s="3" t="str">
        <f t="shared" si="20"/>
        <v>1T17</v>
      </c>
      <c r="O70" s="3" t="str">
        <f t="shared" si="20"/>
        <v>2T17</v>
      </c>
      <c r="P70" s="3" t="str">
        <f t="shared" si="20"/>
        <v>3T17</v>
      </c>
      <c r="Q70" s="3" t="str">
        <f t="shared" si="20"/>
        <v>4T17</v>
      </c>
      <c r="R70" s="4">
        <f t="shared" si="20"/>
        <v>2017</v>
      </c>
      <c r="S70" s="3" t="str">
        <f t="shared" si="20"/>
        <v>1T18</v>
      </c>
      <c r="T70" s="3" t="str">
        <f t="shared" si="20"/>
        <v>2T18</v>
      </c>
      <c r="U70" s="3" t="str">
        <f t="shared" si="20"/>
        <v>3T18</v>
      </c>
      <c r="V70" s="3" t="str">
        <f t="shared" si="20"/>
        <v>4T18</v>
      </c>
      <c r="W70" s="4">
        <f t="shared" si="20"/>
        <v>2018</v>
      </c>
      <c r="X70" s="3" t="str">
        <f t="shared" si="20"/>
        <v>1T19</v>
      </c>
      <c r="Y70" s="3" t="str">
        <f t="shared" si="20"/>
        <v>2T19</v>
      </c>
      <c r="Z70" s="3" t="str">
        <f t="shared" si="20"/>
        <v>3T19</v>
      </c>
      <c r="AA70" s="3" t="str">
        <f t="shared" si="20"/>
        <v>4T19</v>
      </c>
      <c r="AB70" s="4">
        <f t="shared" si="20"/>
        <v>2019</v>
      </c>
      <c r="AC70" s="3" t="str">
        <f t="shared" si="20"/>
        <v>1T20</v>
      </c>
      <c r="AD70" s="3" t="str">
        <f t="shared" si="20"/>
        <v>2T20</v>
      </c>
      <c r="AE70" s="3" t="str">
        <f t="shared" si="20"/>
        <v>3T20</v>
      </c>
      <c r="AF70" s="3" t="str">
        <f t="shared" si="20"/>
        <v>4T20</v>
      </c>
      <c r="AG70" s="4">
        <f t="shared" si="20"/>
        <v>2020</v>
      </c>
      <c r="AH70" s="3" t="str">
        <f t="shared" si="20"/>
        <v>1T21</v>
      </c>
      <c r="AI70" s="3" t="str">
        <f t="shared" si="20"/>
        <v>2T21</v>
      </c>
      <c r="AJ70" s="3" t="str">
        <f t="shared" si="20"/>
        <v>3T21</v>
      </c>
      <c r="AK70" s="3" t="str">
        <f t="shared" si="20"/>
        <v>4T21</v>
      </c>
      <c r="AL70" s="4">
        <f t="shared" si="20"/>
        <v>2021</v>
      </c>
      <c r="AM70" s="3" t="str">
        <f t="shared" si="20"/>
        <v>1T22</v>
      </c>
      <c r="AN70" s="3" t="str">
        <f t="shared" si="20"/>
        <v>2T22</v>
      </c>
      <c r="AO70" s="3" t="str">
        <f t="shared" si="20"/>
        <v>3T22</v>
      </c>
      <c r="AP70" s="3" t="str">
        <f t="shared" si="20"/>
        <v>4T22</v>
      </c>
      <c r="AQ70" s="4">
        <f t="shared" si="20"/>
        <v>2022</v>
      </c>
      <c r="AR70" s="3" t="str">
        <f t="shared" si="20"/>
        <v>1T23</v>
      </c>
      <c r="AS70" s="3" t="str">
        <f t="shared" si="20"/>
        <v>2T23</v>
      </c>
      <c r="AT70" s="3" t="str">
        <f t="shared" si="20"/>
        <v>3T23</v>
      </c>
      <c r="AU70" s="3" t="s">
        <v>37</v>
      </c>
      <c r="AV70" s="4">
        <v>2023</v>
      </c>
      <c r="AW70" s="3" t="str">
        <f>AW1</f>
        <v>1T24</v>
      </c>
      <c r="AX70" s="3" t="str">
        <f>AX1</f>
        <v>2T24</v>
      </c>
      <c r="AY70" s="3" t="str">
        <f>AY1</f>
        <v>3T24</v>
      </c>
      <c r="AZ70" s="3" t="str">
        <f t="shared" ref="AZ70:BB70" si="21">AZ1</f>
        <v>4T24</v>
      </c>
      <c r="BA70" s="4">
        <f t="shared" si="21"/>
        <v>2024</v>
      </c>
      <c r="BB70" s="3" t="str">
        <f t="shared" si="21"/>
        <v>1T25</v>
      </c>
      <c r="BC70" s="3" t="s">
        <v>383</v>
      </c>
      <c r="BD70" s="3" t="s">
        <v>384</v>
      </c>
      <c r="BE70" s="3" t="s">
        <v>385</v>
      </c>
      <c r="BF70" s="4">
        <v>2025</v>
      </c>
      <c r="BG70" s="3" t="s">
        <v>386</v>
      </c>
      <c r="BH70" s="3" t="s">
        <v>387</v>
      </c>
      <c r="BK70" s="210"/>
    </row>
    <row r="71" spans="1:63" ht="16" x14ac:dyDescent="0.4">
      <c r="A71" s="5" t="s">
        <v>320</v>
      </c>
      <c r="B71" s="5" t="s">
        <v>304</v>
      </c>
      <c r="C71" s="5"/>
      <c r="D71" s="6"/>
      <c r="E71" s="5"/>
      <c r="F71" s="5"/>
      <c r="G71" s="5"/>
      <c r="H71" s="7">
        <v>12.613</v>
      </c>
      <c r="I71" s="6">
        <v>14.698</v>
      </c>
      <c r="J71" s="6">
        <v>14.571999999999999</v>
      </c>
      <c r="K71" s="6">
        <v>15.407999999999999</v>
      </c>
      <c r="L71" s="6">
        <v>17.939</v>
      </c>
      <c r="M71" s="7">
        <v>17.939</v>
      </c>
      <c r="N71" s="6">
        <v>17.533000000000001</v>
      </c>
      <c r="O71" s="6">
        <v>16.876999999999999</v>
      </c>
      <c r="P71" s="6">
        <v>16.402999999999999</v>
      </c>
      <c r="Q71" s="6">
        <v>15.972</v>
      </c>
      <c r="R71" s="7">
        <v>15.972</v>
      </c>
      <c r="S71" s="6">
        <v>15.414999999999999</v>
      </c>
      <c r="T71" s="6">
        <v>40.933</v>
      </c>
      <c r="U71" s="6">
        <v>40.816000000000003</v>
      </c>
      <c r="V71" s="6">
        <v>60.1</v>
      </c>
      <c r="W71" s="7">
        <v>60.1</v>
      </c>
      <c r="X71" s="6">
        <v>92.997</v>
      </c>
      <c r="Y71" s="6">
        <v>94.894999999999996</v>
      </c>
      <c r="Z71" s="6">
        <v>95.338999999999999</v>
      </c>
      <c r="AA71" s="6">
        <v>61.901000000000003</v>
      </c>
      <c r="AB71" s="7">
        <v>61.901000000000003</v>
      </c>
      <c r="AC71" s="6">
        <v>62.063000000000002</v>
      </c>
      <c r="AD71" s="6">
        <v>61.41</v>
      </c>
      <c r="AE71" s="6">
        <v>61.44</v>
      </c>
      <c r="AF71" s="6">
        <v>41.902999999999999</v>
      </c>
      <c r="AG71" s="7">
        <v>41.902999999999999</v>
      </c>
      <c r="AH71" s="6">
        <v>41.267000000000003</v>
      </c>
      <c r="AI71" s="6">
        <v>38.378999999999998</v>
      </c>
      <c r="AJ71" s="6">
        <v>37.845999999999997</v>
      </c>
      <c r="AK71" s="6">
        <v>37.938000000000002</v>
      </c>
      <c r="AL71" s="7">
        <v>37.938000000000002</v>
      </c>
      <c r="AM71" s="6">
        <v>37.643000000000001</v>
      </c>
      <c r="AN71" s="6">
        <v>37.488999999999997</v>
      </c>
      <c r="AO71" s="6">
        <v>35.549999999999997</v>
      </c>
      <c r="AP71" s="6">
        <v>37.905999999999999</v>
      </c>
      <c r="AQ71" s="7">
        <v>37.905999999999999</v>
      </c>
      <c r="AR71" s="6">
        <v>37.584000000000003</v>
      </c>
      <c r="AS71" s="6">
        <v>38.469000000000001</v>
      </c>
      <c r="AT71" s="6">
        <v>38.597000000000001</v>
      </c>
      <c r="AU71" s="6">
        <v>39.265999999999998</v>
      </c>
      <c r="AV71" s="7">
        <v>39.265999999999998</v>
      </c>
      <c r="AW71" s="6">
        <v>39.156999999999996</v>
      </c>
      <c r="AX71" s="6">
        <v>40.249000000000002</v>
      </c>
      <c r="AY71" s="6">
        <v>40.679000000000002</v>
      </c>
      <c r="AZ71" s="6">
        <v>64.852000000000004</v>
      </c>
      <c r="BA71" s="7">
        <v>64.852000000000004</v>
      </c>
      <c r="BB71" s="6">
        <v>64.997</v>
      </c>
      <c r="BC71" s="6">
        <v>66.129000000000005</v>
      </c>
      <c r="BD71" s="6">
        <v>66.284999999999997</v>
      </c>
      <c r="BE71" s="6">
        <v>66.224000000000004</v>
      </c>
      <c r="BF71" s="158">
        <v>66.224000000000004</v>
      </c>
      <c r="BG71" s="6">
        <v>66.096999999999994</v>
      </c>
      <c r="BH71" s="6">
        <v>66.840999999999994</v>
      </c>
      <c r="BK71" s="210"/>
    </row>
    <row r="72" spans="1:63" ht="16" x14ac:dyDescent="0.4">
      <c r="A72" s="9" t="s">
        <v>321</v>
      </c>
      <c r="B72" s="9" t="s">
        <v>302</v>
      </c>
      <c r="C72" s="9"/>
      <c r="D72" s="6"/>
      <c r="E72" s="9"/>
      <c r="F72" s="9"/>
      <c r="G72" s="9"/>
      <c r="H72" s="7">
        <v>641.92999999999995</v>
      </c>
      <c r="I72" s="6">
        <v>643.68600000000004</v>
      </c>
      <c r="J72" s="6">
        <v>651.08500000000004</v>
      </c>
      <c r="K72" s="6">
        <v>669.89400000000001</v>
      </c>
      <c r="L72" s="6">
        <v>686.29899999999998</v>
      </c>
      <c r="M72" s="7">
        <v>686.29899999999998</v>
      </c>
      <c r="N72" s="6">
        <v>678.08600000000001</v>
      </c>
      <c r="O72" s="6">
        <v>673.14300000000003</v>
      </c>
      <c r="P72" s="6">
        <v>685.70699999999999</v>
      </c>
      <c r="Q72" s="6">
        <v>692.673</v>
      </c>
      <c r="R72" s="7">
        <v>692.673</v>
      </c>
      <c r="S72" s="6">
        <v>713.077</v>
      </c>
      <c r="T72" s="6">
        <v>769.3</v>
      </c>
      <c r="U72" s="6">
        <v>788.447</v>
      </c>
      <c r="V72" s="6">
        <v>987.1</v>
      </c>
      <c r="W72" s="7">
        <v>987.1</v>
      </c>
      <c r="X72" s="6">
        <v>1061.05</v>
      </c>
      <c r="Y72" s="6">
        <v>1129.3389999999999</v>
      </c>
      <c r="Z72" s="6">
        <v>1155.9659999999999</v>
      </c>
      <c r="AA72" s="6">
        <v>1238.3040000000001</v>
      </c>
      <c r="AB72" s="7">
        <v>1238.3040000000001</v>
      </c>
      <c r="AC72" s="6">
        <v>1249.2159999999999</v>
      </c>
      <c r="AD72" s="6">
        <v>1248.1669999999999</v>
      </c>
      <c r="AE72" s="6">
        <v>1243.348</v>
      </c>
      <c r="AF72" s="6">
        <v>1092.876</v>
      </c>
      <c r="AG72" s="7">
        <v>1092.876</v>
      </c>
      <c r="AH72" s="6">
        <v>1081.8209999999999</v>
      </c>
      <c r="AI72" s="6">
        <v>903.97199999999998</v>
      </c>
      <c r="AJ72" s="6">
        <v>891.34100000000001</v>
      </c>
      <c r="AK72" s="6">
        <v>883.56100000000004</v>
      </c>
      <c r="AL72" s="7">
        <v>883.56100000000004</v>
      </c>
      <c r="AM72" s="6">
        <v>878.16200000000003</v>
      </c>
      <c r="AN72" s="6">
        <v>831.20500000000004</v>
      </c>
      <c r="AO72" s="6">
        <v>817.39700000000005</v>
      </c>
      <c r="AP72" s="6">
        <v>983.87599999999998</v>
      </c>
      <c r="AQ72" s="7">
        <v>983.87599999999998</v>
      </c>
      <c r="AR72" s="6">
        <v>973.28599999999994</v>
      </c>
      <c r="AS72" s="6">
        <v>971.34799999999996</v>
      </c>
      <c r="AT72" s="6">
        <v>972.50900000000001</v>
      </c>
      <c r="AU72" s="6">
        <v>988.99900000000002</v>
      </c>
      <c r="AV72" s="7">
        <v>988.99900000000002</v>
      </c>
      <c r="AW72" s="6">
        <v>978.03399999999999</v>
      </c>
      <c r="AX72" s="6">
        <v>975.52700000000004</v>
      </c>
      <c r="AY72" s="6">
        <v>965.07</v>
      </c>
      <c r="AZ72" s="6">
        <v>974.62</v>
      </c>
      <c r="BA72" s="7">
        <v>974.62</v>
      </c>
      <c r="BB72" s="6">
        <v>980.56399999999996</v>
      </c>
      <c r="BC72" s="6">
        <v>992.54499999999996</v>
      </c>
      <c r="BD72" s="6">
        <v>1007.119</v>
      </c>
      <c r="BE72" s="6">
        <v>1014.0359999999999</v>
      </c>
      <c r="BF72" s="158">
        <v>1014.0359999999999</v>
      </c>
      <c r="BG72" s="6">
        <v>1028.2639999999999</v>
      </c>
      <c r="BH72" s="6">
        <v>1030.693</v>
      </c>
      <c r="BK72" s="210"/>
    </row>
    <row r="73" spans="1:63" ht="16" x14ac:dyDescent="0.4">
      <c r="A73" s="9" t="s">
        <v>322</v>
      </c>
      <c r="B73" s="9" t="s">
        <v>323</v>
      </c>
      <c r="C73" s="9"/>
      <c r="D73" s="6"/>
      <c r="E73" s="9"/>
      <c r="F73" s="9"/>
      <c r="G73" s="9"/>
      <c r="H73" s="7">
        <v>87.893000000000001</v>
      </c>
      <c r="I73" s="6">
        <v>86.843999999999994</v>
      </c>
      <c r="J73" s="6">
        <v>85.674000000000007</v>
      </c>
      <c r="K73" s="6">
        <v>85.313000000000002</v>
      </c>
      <c r="L73" s="6">
        <v>83.411000000000001</v>
      </c>
      <c r="M73" s="7">
        <v>83.411000000000001</v>
      </c>
      <c r="N73" s="6">
        <v>83.257999999999996</v>
      </c>
      <c r="O73" s="6">
        <v>82.876999999999995</v>
      </c>
      <c r="P73" s="6">
        <v>82.436000000000007</v>
      </c>
      <c r="Q73" s="6">
        <v>81.691999999999993</v>
      </c>
      <c r="R73" s="7">
        <v>81.691999999999993</v>
      </c>
      <c r="S73" s="6">
        <v>80.064999999999998</v>
      </c>
      <c r="T73" s="6">
        <v>79.251000000000005</v>
      </c>
      <c r="U73" s="6">
        <v>78.566999999999993</v>
      </c>
      <c r="V73" s="6">
        <v>82.557000000000002</v>
      </c>
      <c r="W73" s="7">
        <v>82.557000000000002</v>
      </c>
      <c r="X73" s="6">
        <v>81.403000000000006</v>
      </c>
      <c r="Y73" s="6">
        <v>80.921000000000006</v>
      </c>
      <c r="Z73" s="6">
        <v>80.247</v>
      </c>
      <c r="AA73" s="6">
        <v>79.075999999999993</v>
      </c>
      <c r="AB73" s="7">
        <v>79.075999999999993</v>
      </c>
      <c r="AC73" s="6">
        <v>76.242000000000004</v>
      </c>
      <c r="AD73" s="6">
        <v>73.900999999999996</v>
      </c>
      <c r="AE73" s="6">
        <v>73.337000000000003</v>
      </c>
      <c r="AF73" s="6">
        <v>71.269000000000005</v>
      </c>
      <c r="AG73" s="7">
        <v>71.269000000000005</v>
      </c>
      <c r="AH73" s="6">
        <v>68.275000000000006</v>
      </c>
      <c r="AI73" s="6">
        <v>62.622</v>
      </c>
      <c r="AJ73" s="6">
        <v>60.63</v>
      </c>
      <c r="AK73" s="6">
        <v>59.722000000000001</v>
      </c>
      <c r="AL73" s="7">
        <v>59.722000000000001</v>
      </c>
      <c r="AM73" s="6">
        <v>59.14</v>
      </c>
      <c r="AN73" s="6">
        <v>58.462000000000003</v>
      </c>
      <c r="AO73" s="6">
        <v>57.823999999999998</v>
      </c>
      <c r="AP73" s="6">
        <v>60.530999999999999</v>
      </c>
      <c r="AQ73" s="7">
        <v>60.530999999999999</v>
      </c>
      <c r="AR73" s="6">
        <v>60.436999999999998</v>
      </c>
      <c r="AS73" s="6">
        <v>60.338000000000001</v>
      </c>
      <c r="AT73" s="6">
        <v>70.484999999999999</v>
      </c>
      <c r="AU73" s="6">
        <v>67.111999999999995</v>
      </c>
      <c r="AV73" s="7">
        <v>67.111999999999995</v>
      </c>
      <c r="AW73" s="6">
        <v>66.245000000000005</v>
      </c>
      <c r="AX73" s="6">
        <v>65.606999999999999</v>
      </c>
      <c r="AY73" s="6">
        <v>66.016999999999996</v>
      </c>
      <c r="AZ73" s="6">
        <v>66.322999999999993</v>
      </c>
      <c r="BA73" s="7">
        <v>66.322999999999993</v>
      </c>
      <c r="BB73" s="6">
        <v>65.492000000000004</v>
      </c>
      <c r="BC73" s="6">
        <v>65.466999999999999</v>
      </c>
      <c r="BD73" s="6">
        <v>65.180000000000007</v>
      </c>
      <c r="BE73" s="6">
        <v>65.375</v>
      </c>
      <c r="BF73" s="158">
        <v>65.375</v>
      </c>
      <c r="BG73" s="6">
        <v>64.936000000000007</v>
      </c>
      <c r="BH73" s="6">
        <v>64.344999999999999</v>
      </c>
      <c r="BK73" s="210"/>
    </row>
    <row r="74" spans="1:63" ht="16" x14ac:dyDescent="0.4">
      <c r="A74" s="9" t="s">
        <v>324</v>
      </c>
      <c r="B74" s="9" t="s">
        <v>325</v>
      </c>
      <c r="C74" s="9"/>
      <c r="D74" s="6"/>
      <c r="E74" s="9"/>
      <c r="F74" s="9"/>
      <c r="G74" s="9"/>
      <c r="H74" s="7">
        <v>0</v>
      </c>
      <c r="I74" s="6"/>
      <c r="J74" s="6"/>
      <c r="K74" s="6"/>
      <c r="L74" s="6"/>
      <c r="M74" s="7">
        <v>0</v>
      </c>
      <c r="N74" s="6"/>
      <c r="O74" s="6"/>
      <c r="P74" s="6"/>
      <c r="Q74" s="6"/>
      <c r="R74" s="7">
        <v>0</v>
      </c>
      <c r="S74" s="6"/>
      <c r="T74" s="6"/>
      <c r="U74" s="6"/>
      <c r="V74" s="6"/>
      <c r="W74" s="7">
        <v>0</v>
      </c>
      <c r="X74" s="6"/>
      <c r="Y74" s="6"/>
      <c r="Z74" s="6"/>
      <c r="AA74" s="6"/>
      <c r="AB74" s="7">
        <v>0</v>
      </c>
      <c r="AC74" s="6"/>
      <c r="AD74" s="6"/>
      <c r="AE74" s="6"/>
      <c r="AF74" s="6"/>
      <c r="AG74" s="7">
        <v>0</v>
      </c>
      <c r="AH74" s="6"/>
      <c r="AI74" s="6"/>
      <c r="AJ74" s="6"/>
      <c r="AK74" s="6"/>
      <c r="AL74" s="7">
        <v>0</v>
      </c>
      <c r="AM74" s="6"/>
      <c r="AN74" s="6"/>
      <c r="AO74" s="6"/>
      <c r="AP74" s="6"/>
      <c r="AQ74" s="7">
        <v>0</v>
      </c>
      <c r="AR74" s="6"/>
      <c r="AS74" s="6"/>
      <c r="AT74" s="6"/>
      <c r="AU74" s="6"/>
      <c r="AV74" s="7">
        <v>0</v>
      </c>
      <c r="AW74" s="6">
        <v>0</v>
      </c>
      <c r="AX74" s="6">
        <v>0</v>
      </c>
      <c r="AY74" s="6">
        <v>5.2999999999999999E-2</v>
      </c>
      <c r="AZ74" s="6">
        <v>0.69399999999999995</v>
      </c>
      <c r="BA74" s="7">
        <v>0.69399999999999995</v>
      </c>
      <c r="BB74" s="6">
        <v>8.5999999999999993E-2</v>
      </c>
      <c r="BC74" s="6">
        <v>9.8000000000000004E-2</v>
      </c>
      <c r="BD74" s="6">
        <v>9.6000000000000002E-2</v>
      </c>
      <c r="BE74" s="6">
        <v>9.6000000000000002E-2</v>
      </c>
      <c r="BF74" s="158">
        <v>9.6000000000000002E-2</v>
      </c>
      <c r="BG74" s="6">
        <v>9.1999999999999998E-2</v>
      </c>
      <c r="BH74" s="6">
        <v>9.1999999999999998E-2</v>
      </c>
      <c r="BK74" s="210"/>
    </row>
    <row r="75" spans="1:63" ht="16" x14ac:dyDescent="0.4">
      <c r="A75" s="9" t="s">
        <v>326</v>
      </c>
      <c r="B75" s="9" t="s">
        <v>327</v>
      </c>
      <c r="C75" s="9"/>
      <c r="D75" s="6"/>
      <c r="E75" s="9"/>
      <c r="F75" s="9"/>
      <c r="G75" s="9"/>
      <c r="H75" s="7">
        <v>0</v>
      </c>
      <c r="I75" s="6"/>
      <c r="J75" s="6"/>
      <c r="K75" s="6"/>
      <c r="L75" s="6"/>
      <c r="M75" s="7">
        <v>0</v>
      </c>
      <c r="N75" s="6"/>
      <c r="O75" s="6"/>
      <c r="P75" s="6"/>
      <c r="Q75" s="6"/>
      <c r="R75" s="7">
        <v>0</v>
      </c>
      <c r="S75" s="6"/>
      <c r="T75" s="6"/>
      <c r="U75" s="6"/>
      <c r="V75" s="6"/>
      <c r="W75" s="7">
        <v>0</v>
      </c>
      <c r="X75" s="6"/>
      <c r="Y75" s="6"/>
      <c r="Z75" s="6"/>
      <c r="AA75" s="6"/>
      <c r="AB75" s="7">
        <v>0</v>
      </c>
      <c r="AC75" s="6"/>
      <c r="AD75" s="6"/>
      <c r="AE75" s="6"/>
      <c r="AF75" s="6"/>
      <c r="AG75" s="7">
        <v>0</v>
      </c>
      <c r="AH75" s="6"/>
      <c r="AI75" s="6"/>
      <c r="AJ75" s="6"/>
      <c r="AK75" s="6"/>
      <c r="AL75" s="7">
        <v>0</v>
      </c>
      <c r="AM75" s="6"/>
      <c r="AN75" s="6"/>
      <c r="AO75" s="6"/>
      <c r="AP75" s="6"/>
      <c r="AQ75" s="7">
        <v>0</v>
      </c>
      <c r="AR75" s="6"/>
      <c r="AS75" s="6"/>
      <c r="AT75" s="6"/>
      <c r="AU75" s="6"/>
      <c r="AV75" s="7">
        <v>0</v>
      </c>
      <c r="AW75" s="6">
        <v>0</v>
      </c>
      <c r="AX75" s="6">
        <v>0</v>
      </c>
      <c r="AY75" s="6">
        <v>0.435</v>
      </c>
      <c r="AZ75" s="6">
        <v>0</v>
      </c>
      <c r="BA75" s="7">
        <v>0</v>
      </c>
      <c r="BB75" s="6">
        <v>0.96699999999999997</v>
      </c>
      <c r="BC75" s="6">
        <v>0.96699999999999997</v>
      </c>
      <c r="BD75" s="6">
        <v>0.96699999999999997</v>
      </c>
      <c r="BE75" s="6">
        <v>-1E-3</v>
      </c>
      <c r="BF75" s="158">
        <v>-1E-3</v>
      </c>
      <c r="BG75" s="6">
        <v>-1E-3</v>
      </c>
      <c r="BH75" s="6">
        <v>0</v>
      </c>
      <c r="BK75" s="210"/>
    </row>
    <row r="76" spans="1:63" ht="16" x14ac:dyDescent="0.4">
      <c r="A76" s="9" t="s">
        <v>328</v>
      </c>
      <c r="B76" s="9" t="s">
        <v>329</v>
      </c>
      <c r="C76" s="9"/>
      <c r="D76" s="6"/>
      <c r="E76" s="9"/>
      <c r="F76" s="9"/>
      <c r="G76" s="9"/>
      <c r="H76" s="7">
        <v>70.831000000000003</v>
      </c>
      <c r="I76" s="6">
        <v>70.268000000000001</v>
      </c>
      <c r="J76" s="6">
        <v>69.453000000000003</v>
      </c>
      <c r="K76" s="6">
        <v>66.846999999999994</v>
      </c>
      <c r="L76" s="6">
        <v>68.456000000000003</v>
      </c>
      <c r="M76" s="7">
        <v>69.061999999999998</v>
      </c>
      <c r="N76" s="6">
        <v>65.867000000000004</v>
      </c>
      <c r="O76" s="6">
        <v>63.152000000000001</v>
      </c>
      <c r="P76" s="6">
        <v>63.365000000000002</v>
      </c>
      <c r="Q76" s="6">
        <v>59.783000000000001</v>
      </c>
      <c r="R76" s="7">
        <v>59.783000000000001</v>
      </c>
      <c r="S76" s="6">
        <v>56.831000000000003</v>
      </c>
      <c r="T76" s="6">
        <v>55.415999999999997</v>
      </c>
      <c r="U76" s="6">
        <v>53.189250000000001</v>
      </c>
      <c r="V76" s="6">
        <v>56.5</v>
      </c>
      <c r="W76" s="7">
        <v>56.5</v>
      </c>
      <c r="X76" s="6">
        <v>57.484000000000002</v>
      </c>
      <c r="Y76" s="6">
        <v>54.09</v>
      </c>
      <c r="Z76" s="6">
        <v>57.902999999999999</v>
      </c>
      <c r="AA76" s="6">
        <v>54.042000000000002</v>
      </c>
      <c r="AB76" s="7">
        <v>54.042000000000002</v>
      </c>
      <c r="AC76" s="6">
        <v>61.051000000000002</v>
      </c>
      <c r="AD76" s="6">
        <v>63.305999999999997</v>
      </c>
      <c r="AE76" s="6">
        <v>67.831000000000003</v>
      </c>
      <c r="AF76" s="6">
        <v>71.951999999999998</v>
      </c>
      <c r="AG76" s="7">
        <v>71.951999999999998</v>
      </c>
      <c r="AH76" s="6">
        <v>83.774000000000001</v>
      </c>
      <c r="AI76" s="6">
        <v>64.415000000000006</v>
      </c>
      <c r="AJ76" s="6">
        <v>64.290000000000006</v>
      </c>
      <c r="AK76" s="6">
        <v>45.563000000000002</v>
      </c>
      <c r="AL76" s="7">
        <v>45.563000000000002</v>
      </c>
      <c r="AM76" s="6">
        <v>43.97</v>
      </c>
      <c r="AN76" s="6">
        <v>46.813000000000002</v>
      </c>
      <c r="AO76" s="6">
        <v>46.173000000000002</v>
      </c>
      <c r="AP76" s="6">
        <v>53.091000000000001</v>
      </c>
      <c r="AQ76" s="7">
        <v>53.091000000000001</v>
      </c>
      <c r="AR76" s="6">
        <v>49.695999999999998</v>
      </c>
      <c r="AS76" s="6">
        <v>57.401000000000003</v>
      </c>
      <c r="AT76" s="6">
        <v>67.481999999999999</v>
      </c>
      <c r="AU76" s="6">
        <v>68.498999999999995</v>
      </c>
      <c r="AV76" s="7">
        <v>68.498999999999995</v>
      </c>
      <c r="AW76" s="6">
        <v>67.997</v>
      </c>
      <c r="AX76" s="6">
        <v>60.598999999999997</v>
      </c>
      <c r="AY76" s="6">
        <v>59.625999999999998</v>
      </c>
      <c r="AZ76" s="6">
        <v>61.987000000000002</v>
      </c>
      <c r="BA76" s="7">
        <v>61.987000000000002</v>
      </c>
      <c r="BB76" s="6">
        <v>60.314</v>
      </c>
      <c r="BC76" s="6">
        <v>59.369</v>
      </c>
      <c r="BD76" s="6">
        <v>62.728999999999999</v>
      </c>
      <c r="BE76" s="6">
        <v>79.174999999999997</v>
      </c>
      <c r="BF76" s="158">
        <v>79.174999999999997</v>
      </c>
      <c r="BG76" s="6">
        <v>66.866</v>
      </c>
      <c r="BH76" s="6">
        <v>66.488</v>
      </c>
      <c r="BK76" s="210"/>
    </row>
    <row r="77" spans="1:63" ht="16" x14ac:dyDescent="0.4">
      <c r="A77" s="9" t="s">
        <v>330</v>
      </c>
      <c r="B77" s="9" t="s">
        <v>331</v>
      </c>
      <c r="C77" s="9"/>
      <c r="D77" s="6"/>
      <c r="E77" s="9"/>
      <c r="F77" s="9"/>
      <c r="G77" s="9"/>
      <c r="H77" s="7">
        <v>3.0270000000000001</v>
      </c>
      <c r="I77" s="6">
        <v>3.0329999999999999</v>
      </c>
      <c r="J77" s="6">
        <v>1.633</v>
      </c>
      <c r="K77" s="6">
        <v>2.0179999999999998</v>
      </c>
      <c r="L77" s="6">
        <v>11.634</v>
      </c>
      <c r="M77" s="7">
        <v>11.634</v>
      </c>
      <c r="N77" s="6">
        <v>11.625999999999999</v>
      </c>
      <c r="O77" s="6">
        <v>14.789</v>
      </c>
      <c r="P77" s="6">
        <v>13.179</v>
      </c>
      <c r="Q77" s="6">
        <v>6.6210000000000004</v>
      </c>
      <c r="R77" s="7">
        <v>6.6210000000000004</v>
      </c>
      <c r="S77" s="6">
        <v>3.2439999999999998</v>
      </c>
      <c r="T77" s="6">
        <v>2.617</v>
      </c>
      <c r="U77" s="6">
        <v>1.663</v>
      </c>
      <c r="V77" s="6">
        <v>13.748000000000001</v>
      </c>
      <c r="W77" s="7">
        <v>13.748000000000001</v>
      </c>
      <c r="X77" s="6">
        <v>2.8109999999999999</v>
      </c>
      <c r="Y77" s="6">
        <v>8.463000000000001</v>
      </c>
      <c r="Z77" s="6">
        <v>6.7119999999999997</v>
      </c>
      <c r="AA77" s="6">
        <v>8.7490000000000006</v>
      </c>
      <c r="AB77" s="7">
        <v>8.7490000000000006</v>
      </c>
      <c r="AC77" s="6">
        <v>7.1470000000000002</v>
      </c>
      <c r="AD77" s="6">
        <v>8.0340000000000007</v>
      </c>
      <c r="AE77" s="6">
        <v>12.614000000000001</v>
      </c>
      <c r="AF77" s="6">
        <v>24.196000000000002</v>
      </c>
      <c r="AG77" s="7">
        <v>24.196000000000002</v>
      </c>
      <c r="AH77" s="6">
        <v>25.850999999999999</v>
      </c>
      <c r="AI77" s="6">
        <v>23.559000000000001</v>
      </c>
      <c r="AJ77" s="6">
        <v>17.277000000000001</v>
      </c>
      <c r="AK77" s="6">
        <v>16.481999999999999</v>
      </c>
      <c r="AL77" s="7">
        <v>16.481999999999999</v>
      </c>
      <c r="AM77" s="6">
        <v>16.821999999999999</v>
      </c>
      <c r="AN77" s="6">
        <v>19.033999999999999</v>
      </c>
      <c r="AO77" s="6">
        <v>19.897000000000002</v>
      </c>
      <c r="AP77" s="6">
        <v>26.148000000000003</v>
      </c>
      <c r="AQ77" s="7">
        <v>26.148000000000003</v>
      </c>
      <c r="AR77" s="6">
        <v>65.814999999999998</v>
      </c>
      <c r="AS77" s="6">
        <v>33.661000000000001</v>
      </c>
      <c r="AT77" s="6">
        <v>34.582000000000001</v>
      </c>
      <c r="AU77" s="6">
        <v>53.012</v>
      </c>
      <c r="AV77" s="7">
        <v>53.012</v>
      </c>
      <c r="AW77" s="6">
        <v>59.972000000000001</v>
      </c>
      <c r="AX77" s="6">
        <v>47.067999999999998</v>
      </c>
      <c r="AY77" s="6">
        <v>48.429000000000002</v>
      </c>
      <c r="AZ77" s="6">
        <v>39.789000000000001</v>
      </c>
      <c r="BA77" s="7">
        <v>39.789000000000001</v>
      </c>
      <c r="BB77" s="6">
        <v>40.215999999999994</v>
      </c>
      <c r="BC77" s="6">
        <v>37.639000000000003</v>
      </c>
      <c r="BD77" s="6">
        <v>39.305</v>
      </c>
      <c r="BE77" s="6">
        <v>13.181000000000001</v>
      </c>
      <c r="BF77" s="158">
        <v>13.181000000000001</v>
      </c>
      <c r="BG77" s="6">
        <v>11.707000000000001</v>
      </c>
      <c r="BH77" s="6">
        <v>12.234999999999999</v>
      </c>
      <c r="BK77" s="210"/>
    </row>
    <row r="78" spans="1:63" ht="16" x14ac:dyDescent="0.4">
      <c r="A78" s="9" t="s">
        <v>246</v>
      </c>
      <c r="B78" s="9" t="s">
        <v>332</v>
      </c>
      <c r="C78" s="9"/>
      <c r="D78" s="6"/>
      <c r="E78" s="9"/>
      <c r="F78" s="9"/>
      <c r="G78" s="9"/>
      <c r="H78" s="7"/>
      <c r="I78" s="6"/>
      <c r="J78" s="6"/>
      <c r="K78" s="6"/>
      <c r="L78" s="6"/>
      <c r="M78" s="7"/>
      <c r="N78" s="6"/>
      <c r="O78" s="6"/>
      <c r="P78" s="6"/>
      <c r="Q78" s="6"/>
      <c r="R78" s="7"/>
      <c r="S78" s="6"/>
      <c r="T78" s="6"/>
      <c r="U78" s="6"/>
      <c r="V78" s="6"/>
      <c r="W78" s="7"/>
      <c r="X78" s="6"/>
      <c r="Y78" s="6"/>
      <c r="Z78" s="6"/>
      <c r="AA78" s="6"/>
      <c r="AB78" s="7"/>
      <c r="AC78" s="6">
        <v>10</v>
      </c>
      <c r="AD78" s="6">
        <v>10</v>
      </c>
      <c r="AE78" s="6">
        <v>10</v>
      </c>
      <c r="AF78" s="6">
        <v>10</v>
      </c>
      <c r="AG78" s="7">
        <v>10</v>
      </c>
      <c r="AH78" s="6">
        <v>10</v>
      </c>
      <c r="AI78" s="6">
        <v>10</v>
      </c>
      <c r="AJ78" s="6">
        <v>10</v>
      </c>
      <c r="AK78" s="6">
        <v>10</v>
      </c>
      <c r="AL78" s="7">
        <v>10</v>
      </c>
      <c r="AM78" s="6">
        <v>10</v>
      </c>
      <c r="AN78" s="6">
        <v>10</v>
      </c>
      <c r="AO78" s="6">
        <v>10</v>
      </c>
      <c r="AP78" s="6">
        <v>10</v>
      </c>
      <c r="AQ78" s="7">
        <v>10</v>
      </c>
      <c r="AR78" s="6">
        <v>10</v>
      </c>
      <c r="AS78" s="6">
        <v>10</v>
      </c>
      <c r="AT78" s="6">
        <v>10</v>
      </c>
      <c r="AU78" s="6">
        <v>10</v>
      </c>
      <c r="AV78" s="7">
        <v>10</v>
      </c>
      <c r="AW78" s="6">
        <v>10</v>
      </c>
      <c r="AX78" s="6">
        <v>10</v>
      </c>
      <c r="AY78" s="6">
        <v>10</v>
      </c>
      <c r="AZ78" s="6">
        <v>10</v>
      </c>
      <c r="BA78" s="7">
        <v>10</v>
      </c>
      <c r="BB78" s="6">
        <v>11.451000000000001</v>
      </c>
      <c r="BC78" s="6">
        <v>11.451000000000001</v>
      </c>
      <c r="BD78" s="6">
        <v>11.451000000000001</v>
      </c>
      <c r="BE78" s="6">
        <v>11.451000000000001</v>
      </c>
      <c r="BF78" s="158">
        <v>11.451000000000001</v>
      </c>
      <c r="BG78" s="6">
        <v>11.451000000000001</v>
      </c>
      <c r="BH78" s="6">
        <v>11.451000000000001</v>
      </c>
      <c r="BK78" s="210"/>
    </row>
    <row r="79" spans="1:63" ht="16" x14ac:dyDescent="0.4">
      <c r="A79" s="47" t="s">
        <v>333</v>
      </c>
      <c r="B79" s="47" t="s">
        <v>334</v>
      </c>
      <c r="C79" s="21"/>
      <c r="D79" s="48"/>
      <c r="E79" s="47"/>
      <c r="F79" s="47"/>
      <c r="G79" s="47"/>
      <c r="H79" s="49">
        <v>816.29399999999998</v>
      </c>
      <c r="I79" s="48">
        <v>818.529</v>
      </c>
      <c r="J79" s="48">
        <v>822.41700000000003</v>
      </c>
      <c r="K79" s="48">
        <v>839.48</v>
      </c>
      <c r="L79" s="48">
        <v>867.73900000000003</v>
      </c>
      <c r="M79" s="49">
        <v>868.34500000000003</v>
      </c>
      <c r="N79" s="48">
        <v>856.37</v>
      </c>
      <c r="O79" s="48">
        <v>850.83799999999997</v>
      </c>
      <c r="P79" s="48">
        <v>861.09</v>
      </c>
      <c r="Q79" s="48">
        <v>856.74099999999999</v>
      </c>
      <c r="R79" s="49">
        <v>856.74099999999999</v>
      </c>
      <c r="S79" s="48">
        <v>868.63199999999995</v>
      </c>
      <c r="T79" s="48">
        <v>947.51700000000005</v>
      </c>
      <c r="U79" s="48">
        <v>962.68224999999995</v>
      </c>
      <c r="V79" s="48">
        <v>1200.0050000000001</v>
      </c>
      <c r="W79" s="49">
        <v>1200.0050000000001</v>
      </c>
      <c r="X79" s="48">
        <v>1295.7449999999999</v>
      </c>
      <c r="Y79" s="48">
        <v>1367.7089999999998</v>
      </c>
      <c r="Z79" s="48">
        <v>1396.1679999999999</v>
      </c>
      <c r="AA79" s="48">
        <v>1442.15</v>
      </c>
      <c r="AB79" s="49">
        <v>1442.15</v>
      </c>
      <c r="AC79" s="48">
        <v>1465.7199999999998</v>
      </c>
      <c r="AD79" s="48">
        <v>1464.8730000000003</v>
      </c>
      <c r="AE79" s="48">
        <v>1468.6009999999999</v>
      </c>
      <c r="AF79" s="48">
        <v>1312.2269999999999</v>
      </c>
      <c r="AG79" s="49">
        <v>1312.2269999999999</v>
      </c>
      <c r="AH79" s="48">
        <v>1311.0250000000001</v>
      </c>
      <c r="AI79" s="48">
        <v>1102.9690000000001</v>
      </c>
      <c r="AJ79" s="48">
        <v>1081.384</v>
      </c>
      <c r="AK79" s="48">
        <v>1053.29</v>
      </c>
      <c r="AL79" s="49">
        <v>1053.29</v>
      </c>
      <c r="AM79" s="48">
        <v>1045.74</v>
      </c>
      <c r="AN79" s="48">
        <v>1003.003</v>
      </c>
      <c r="AO79" s="48">
        <v>986.85299999999995</v>
      </c>
      <c r="AP79" s="48">
        <v>1171.5919999999996</v>
      </c>
      <c r="AQ79" s="49">
        <v>1171.5919999999996</v>
      </c>
      <c r="AR79" s="48">
        <v>1196.8639999999998</v>
      </c>
      <c r="AS79" s="48">
        <v>1171.2650000000001</v>
      </c>
      <c r="AT79" s="48">
        <v>1193.7059999999999</v>
      </c>
      <c r="AU79" s="48">
        <v>1226.9250000000002</v>
      </c>
      <c r="AV79" s="49">
        <v>1226.9250000000002</v>
      </c>
      <c r="AW79" s="48">
        <v>1221.405</v>
      </c>
      <c r="AX79" s="48">
        <v>1199.06</v>
      </c>
      <c r="AY79" s="48">
        <v>1190.3090000000002</v>
      </c>
      <c r="AZ79" s="48">
        <v>1218.2650000000001</v>
      </c>
      <c r="BA79" s="49">
        <v>1218.2650000000001</v>
      </c>
      <c r="BB79" s="48">
        <v>1224.087</v>
      </c>
      <c r="BC79" s="48">
        <v>1233.665</v>
      </c>
      <c r="BD79" s="48">
        <v>1253.1320000000003</v>
      </c>
      <c r="BE79" s="48">
        <v>1249.537</v>
      </c>
      <c r="BF79" s="163">
        <v>1218.2650000000001</v>
      </c>
      <c r="BG79" s="48">
        <v>1249.412</v>
      </c>
      <c r="BH79" s="48">
        <v>1252.145</v>
      </c>
      <c r="BK79" s="210"/>
    </row>
    <row r="80" spans="1:63" ht="16" hidden="1" x14ac:dyDescent="0.4">
      <c r="A80" s="17" t="s">
        <v>335</v>
      </c>
      <c r="B80" s="17" t="s">
        <v>336</v>
      </c>
      <c r="C80" s="21"/>
      <c r="D80" s="51"/>
      <c r="E80" s="21"/>
      <c r="F80" s="21"/>
      <c r="G80" s="21"/>
      <c r="H80" s="154"/>
      <c r="I80" s="51"/>
      <c r="J80" s="51"/>
      <c r="K80" s="51"/>
      <c r="L80" s="51"/>
      <c r="M80" s="154"/>
      <c r="N80" s="51"/>
      <c r="O80" s="51"/>
      <c r="P80" s="51"/>
      <c r="Q80" s="51"/>
      <c r="R80" s="154"/>
      <c r="S80" s="51"/>
      <c r="T80" s="51"/>
      <c r="U80" s="51"/>
      <c r="V80" s="51"/>
      <c r="W80" s="154"/>
      <c r="X80" s="51"/>
      <c r="Y80" s="51"/>
      <c r="Z80" s="51"/>
      <c r="AA80" s="51"/>
      <c r="AB80" s="154"/>
      <c r="AC80" s="51"/>
      <c r="AD80" s="51"/>
      <c r="AE80" s="51"/>
      <c r="AF80" s="51"/>
      <c r="AG80" s="154"/>
      <c r="AH80" s="51"/>
      <c r="AI80" s="51"/>
      <c r="AJ80" s="51"/>
      <c r="AK80" s="51"/>
      <c r="AL80" s="154"/>
      <c r="AM80" s="51"/>
      <c r="AN80" s="51"/>
      <c r="AO80" s="51"/>
      <c r="AP80" s="51"/>
      <c r="AQ80" s="154"/>
      <c r="AR80" s="51"/>
      <c r="AS80" s="51"/>
      <c r="AT80" s="51"/>
      <c r="AU80" s="51"/>
      <c r="AV80" s="154"/>
      <c r="AW80" s="51"/>
      <c r="AX80" s="51"/>
      <c r="AY80" s="51"/>
      <c r="AZ80" s="51"/>
      <c r="BA80" s="154"/>
      <c r="BB80" s="51"/>
      <c r="BC80" s="51">
        <v>0</v>
      </c>
      <c r="BD80" s="51">
        <v>0</v>
      </c>
      <c r="BE80" s="51">
        <v>0</v>
      </c>
      <c r="BF80" s="180"/>
      <c r="BG80" s="51">
        <v>0</v>
      </c>
      <c r="BH80" s="51">
        <v>0</v>
      </c>
      <c r="BK80" s="210"/>
    </row>
    <row r="81" spans="1:63" ht="16" x14ac:dyDescent="0.4">
      <c r="A81" s="17" t="s">
        <v>125</v>
      </c>
      <c r="B81" s="17" t="s">
        <v>126</v>
      </c>
      <c r="C81" s="17"/>
      <c r="D81" s="70"/>
      <c r="E81" s="17"/>
      <c r="F81" s="17"/>
      <c r="G81" s="17"/>
      <c r="H81" s="123">
        <v>40.215000000000003</v>
      </c>
      <c r="I81" s="70">
        <v>41.521999999999998</v>
      </c>
      <c r="J81" s="70">
        <v>42.033999999999999</v>
      </c>
      <c r="K81" s="70">
        <v>47.212000000000003</v>
      </c>
      <c r="L81" s="70">
        <v>43.606999999999999</v>
      </c>
      <c r="M81" s="123">
        <v>43.606999999999999</v>
      </c>
      <c r="N81" s="70">
        <v>39.843000000000004</v>
      </c>
      <c r="O81" s="70">
        <v>39.595999999999997</v>
      </c>
      <c r="P81" s="70">
        <v>41.694000000000003</v>
      </c>
      <c r="Q81" s="70">
        <v>39.125999999999998</v>
      </c>
      <c r="R81" s="123">
        <v>39.125999999999998</v>
      </c>
      <c r="S81" s="70">
        <v>37.121000000000002</v>
      </c>
      <c r="T81" s="70">
        <v>39.795000000000002</v>
      </c>
      <c r="U81" s="70">
        <v>38.218000000000004</v>
      </c>
      <c r="V81" s="70">
        <v>43.543999999999997</v>
      </c>
      <c r="W81" s="123">
        <v>43.543999999999997</v>
      </c>
      <c r="X81" s="70">
        <v>53.904000000000003</v>
      </c>
      <c r="Y81" s="70">
        <v>62.845999999999997</v>
      </c>
      <c r="Z81" s="70">
        <v>56.587000000000003</v>
      </c>
      <c r="AA81" s="70">
        <v>56.552</v>
      </c>
      <c r="AB81" s="123">
        <v>56.552</v>
      </c>
      <c r="AC81" s="70">
        <v>54.889000000000003</v>
      </c>
      <c r="AD81" s="70">
        <v>65.646000000000001</v>
      </c>
      <c r="AE81" s="70">
        <v>59.472000000000001</v>
      </c>
      <c r="AF81" s="70">
        <v>51.832000000000001</v>
      </c>
      <c r="AG81" s="123">
        <v>51.832000000000001</v>
      </c>
      <c r="AH81" s="70">
        <v>47.210999999999999</v>
      </c>
      <c r="AI81" s="70">
        <v>47.137999999999998</v>
      </c>
      <c r="AJ81" s="70">
        <v>54.844999999999999</v>
      </c>
      <c r="AK81" s="70">
        <v>65.691999999999993</v>
      </c>
      <c r="AL81" s="123">
        <v>65.691999999999993</v>
      </c>
      <c r="AM81" s="70">
        <v>71.41</v>
      </c>
      <c r="AN81" s="70">
        <v>59.57</v>
      </c>
      <c r="AO81" s="70">
        <v>75.63</v>
      </c>
      <c r="AP81" s="70">
        <v>102.34699999999999</v>
      </c>
      <c r="AQ81" s="123">
        <v>102.34699999999999</v>
      </c>
      <c r="AR81" s="70">
        <v>110.947</v>
      </c>
      <c r="AS81" s="70">
        <v>104.849</v>
      </c>
      <c r="AT81" s="70">
        <v>88.308999999999997</v>
      </c>
      <c r="AU81" s="70">
        <v>72.102000000000004</v>
      </c>
      <c r="AV81" s="123">
        <v>72.102000000000004</v>
      </c>
      <c r="AW81" s="70">
        <v>77.2</v>
      </c>
      <c r="AX81" s="70">
        <v>69.167000000000002</v>
      </c>
      <c r="AY81" s="70">
        <v>80.108999999999995</v>
      </c>
      <c r="AZ81" s="70">
        <v>94.605000000000004</v>
      </c>
      <c r="BA81" s="123">
        <v>94.605000000000004</v>
      </c>
      <c r="BB81" s="70">
        <v>104.5</v>
      </c>
      <c r="BC81" s="70">
        <v>121.93100741000001</v>
      </c>
      <c r="BD81" s="70">
        <v>96.061000000000007</v>
      </c>
      <c r="BE81" s="70">
        <v>92.147000000000006</v>
      </c>
      <c r="BF81" s="169">
        <v>92.147000000000006</v>
      </c>
      <c r="BG81" s="70">
        <v>99.353999999999999</v>
      </c>
      <c r="BH81" s="70">
        <v>125.69</v>
      </c>
      <c r="BK81" s="210"/>
    </row>
    <row r="82" spans="1:63" ht="16" x14ac:dyDescent="0.4">
      <c r="A82" s="17" t="s">
        <v>127</v>
      </c>
      <c r="B82" s="17" t="s">
        <v>337</v>
      </c>
      <c r="C82" s="17"/>
      <c r="D82" s="70"/>
      <c r="E82" s="17"/>
      <c r="F82" s="17"/>
      <c r="G82" s="17"/>
      <c r="H82" s="123">
        <v>131.01</v>
      </c>
      <c r="I82" s="70">
        <v>133.98099999999999</v>
      </c>
      <c r="J82" s="70">
        <v>125.824</v>
      </c>
      <c r="K82" s="70">
        <v>102.736</v>
      </c>
      <c r="L82" s="70">
        <v>89.031999999999996</v>
      </c>
      <c r="M82" s="123">
        <v>89.031999999999996</v>
      </c>
      <c r="N82" s="70">
        <v>103.4</v>
      </c>
      <c r="O82" s="70">
        <v>101.95699999999999</v>
      </c>
      <c r="P82" s="70">
        <v>115.221</v>
      </c>
      <c r="Q82" s="70">
        <v>113.71299999999999</v>
      </c>
      <c r="R82" s="123">
        <v>113.71299999999999</v>
      </c>
      <c r="S82" s="70">
        <v>135.99799999999999</v>
      </c>
      <c r="T82" s="70">
        <v>129.22999999999999</v>
      </c>
      <c r="U82" s="70">
        <v>130.63499999999999</v>
      </c>
      <c r="V82" s="70">
        <v>122.40600000000001</v>
      </c>
      <c r="W82" s="123">
        <v>122.40600000000001</v>
      </c>
      <c r="X82" s="70">
        <v>111.69</v>
      </c>
      <c r="Y82" s="70">
        <v>117.071</v>
      </c>
      <c r="Z82" s="70">
        <v>126.51300000000001</v>
      </c>
      <c r="AA82" s="70">
        <v>42.241999999999997</v>
      </c>
      <c r="AB82" s="123">
        <v>42.241999999999997</v>
      </c>
      <c r="AC82" s="70">
        <v>37.911999999999999</v>
      </c>
      <c r="AD82" s="70">
        <v>66.356999999999999</v>
      </c>
      <c r="AE82" s="70">
        <v>68.62</v>
      </c>
      <c r="AF82" s="70">
        <v>58.203000000000003</v>
      </c>
      <c r="AG82" s="123">
        <v>58.203000000000003</v>
      </c>
      <c r="AH82" s="70">
        <v>75.156000000000006</v>
      </c>
      <c r="AI82" s="70">
        <v>71.861000000000004</v>
      </c>
      <c r="AJ82" s="70">
        <v>80.58</v>
      </c>
      <c r="AK82" s="70">
        <v>94.852999999999994</v>
      </c>
      <c r="AL82" s="123">
        <v>94.852999999999994</v>
      </c>
      <c r="AM82" s="70">
        <v>68.555999999999997</v>
      </c>
      <c r="AN82" s="70">
        <v>118.943</v>
      </c>
      <c r="AO82" s="70">
        <v>92.683999999999997</v>
      </c>
      <c r="AP82" s="70">
        <v>70.634</v>
      </c>
      <c r="AQ82" s="123">
        <v>70.634</v>
      </c>
      <c r="AR82" s="70">
        <v>127.501</v>
      </c>
      <c r="AS82" s="70">
        <v>89.149000000000001</v>
      </c>
      <c r="AT82" s="70">
        <v>89.391000000000005</v>
      </c>
      <c r="AU82" s="70">
        <v>45.055</v>
      </c>
      <c r="AV82" s="123">
        <v>45.055</v>
      </c>
      <c r="AW82" s="70">
        <v>80.078999999999994</v>
      </c>
      <c r="AX82" s="70">
        <v>110.19799999999999</v>
      </c>
      <c r="AY82" s="70">
        <v>81.614999999999995</v>
      </c>
      <c r="AZ82" s="70">
        <v>69.442999999999998</v>
      </c>
      <c r="BA82" s="123">
        <v>69.442999999999998</v>
      </c>
      <c r="BB82" s="70">
        <v>53.27</v>
      </c>
      <c r="BC82" s="70">
        <v>65.311999999999998</v>
      </c>
      <c r="BD82" s="70">
        <v>48.515000000000001</v>
      </c>
      <c r="BE82" s="70">
        <v>45.301000000000002</v>
      </c>
      <c r="BF82" s="169">
        <v>45.301000000000002</v>
      </c>
      <c r="BG82" s="70">
        <v>68.463999999999999</v>
      </c>
      <c r="BH82" s="70">
        <v>64.486000000000004</v>
      </c>
      <c r="BK82" s="210"/>
    </row>
    <row r="83" spans="1:63" ht="16" x14ac:dyDescent="0.4">
      <c r="A83" s="17" t="s">
        <v>338</v>
      </c>
      <c r="B83" s="17" t="s">
        <v>108</v>
      </c>
      <c r="C83" s="17"/>
      <c r="D83" s="70"/>
      <c r="E83" s="17"/>
      <c r="F83" s="17"/>
      <c r="G83" s="17"/>
      <c r="H83" s="123">
        <v>0.95899999999999996</v>
      </c>
      <c r="I83" s="70">
        <v>0.84499999999999997</v>
      </c>
      <c r="J83" s="70">
        <v>0.84499999999999997</v>
      </c>
      <c r="K83" s="70">
        <v>0.88</v>
      </c>
      <c r="L83" s="70">
        <v>1.4590000000000001</v>
      </c>
      <c r="M83" s="123">
        <v>1.4590000000000001</v>
      </c>
      <c r="N83" s="70">
        <v>0.91200000000000003</v>
      </c>
      <c r="O83" s="70">
        <v>1.5009999999999999</v>
      </c>
      <c r="P83" s="70">
        <v>1.0680000000000001</v>
      </c>
      <c r="Q83" s="70">
        <v>1.022</v>
      </c>
      <c r="R83" s="123">
        <v>1.022</v>
      </c>
      <c r="S83" s="70">
        <v>0.73699999999999999</v>
      </c>
      <c r="T83" s="70">
        <v>0.73699999999999999</v>
      </c>
      <c r="U83" s="70">
        <v>1.9590000000000001</v>
      </c>
      <c r="V83" s="70">
        <v>1.4</v>
      </c>
      <c r="W83" s="123">
        <v>1.4</v>
      </c>
      <c r="X83" s="70">
        <v>1.2130000000000001</v>
      </c>
      <c r="Y83" s="70">
        <v>1.2130000000000001</v>
      </c>
      <c r="Z83" s="70">
        <v>1.6839999999999999</v>
      </c>
      <c r="AA83" s="70">
        <v>8.641</v>
      </c>
      <c r="AB83" s="123">
        <v>8.641</v>
      </c>
      <c r="AC83" s="70">
        <v>7.4930000000000003</v>
      </c>
      <c r="AD83" s="70">
        <v>6.85</v>
      </c>
      <c r="AE83" s="70">
        <v>6.2949999999999999</v>
      </c>
      <c r="AF83" s="70">
        <v>0.96199999999999997</v>
      </c>
      <c r="AG83" s="123">
        <v>0.96199999999999997</v>
      </c>
      <c r="AH83" s="70">
        <v>0.61399999999999999</v>
      </c>
      <c r="AI83" s="70">
        <v>0.115</v>
      </c>
      <c r="AJ83" s="70">
        <v>0.115</v>
      </c>
      <c r="AK83" s="70">
        <v>1.8420000000000001</v>
      </c>
      <c r="AL83" s="123">
        <v>1.8420000000000001</v>
      </c>
      <c r="AM83" s="70">
        <v>1.752</v>
      </c>
      <c r="AN83" s="70">
        <v>1.752</v>
      </c>
      <c r="AO83" s="70">
        <v>1.7729999999999999</v>
      </c>
      <c r="AP83" s="70">
        <v>8.0280000000000005</v>
      </c>
      <c r="AQ83" s="123">
        <v>8.0280000000000005</v>
      </c>
      <c r="AR83" s="70">
        <v>8.0139999999999993</v>
      </c>
      <c r="AS83" s="70">
        <v>8.0139999999999993</v>
      </c>
      <c r="AT83" s="70">
        <v>7.907</v>
      </c>
      <c r="AU83" s="70">
        <v>14.952999999999999</v>
      </c>
      <c r="AV83" s="123">
        <v>14.952999999999999</v>
      </c>
      <c r="AW83" s="70">
        <v>14.736000000000001</v>
      </c>
      <c r="AX83" s="70">
        <v>14.736000000000001</v>
      </c>
      <c r="AY83" s="70">
        <v>14.827999999999999</v>
      </c>
      <c r="AZ83" s="70">
        <v>6.569</v>
      </c>
      <c r="BA83" s="123">
        <v>6.569</v>
      </c>
      <c r="BB83" s="70">
        <v>6.3019999999999996</v>
      </c>
      <c r="BC83" s="70">
        <v>6.3019999999999996</v>
      </c>
      <c r="BD83" s="70">
        <v>6.5739999999999998</v>
      </c>
      <c r="BE83" s="70">
        <v>3.5019999999999998</v>
      </c>
      <c r="BF83" s="169">
        <v>3.5019999999999998</v>
      </c>
      <c r="BG83" s="70">
        <v>3.3809999999999998</v>
      </c>
      <c r="BH83" s="70">
        <v>3.3809999999999998</v>
      </c>
      <c r="BK83" s="210"/>
    </row>
    <row r="84" spans="1:63" ht="16" x14ac:dyDescent="0.4">
      <c r="A84" s="17" t="s">
        <v>339</v>
      </c>
      <c r="B84" s="17" t="s">
        <v>340</v>
      </c>
      <c r="C84" s="17"/>
      <c r="D84" s="70"/>
      <c r="E84" s="17"/>
      <c r="F84" s="17"/>
      <c r="G84" s="17"/>
      <c r="H84" s="123">
        <v>0.47299999999999998</v>
      </c>
      <c r="I84" s="70">
        <v>5.0679999999999996</v>
      </c>
      <c r="J84" s="70">
        <v>6.8570000000000002</v>
      </c>
      <c r="K84" s="70">
        <v>5.63</v>
      </c>
      <c r="L84" s="70">
        <v>3.57</v>
      </c>
      <c r="M84" s="123">
        <v>3.57</v>
      </c>
      <c r="N84" s="70">
        <v>5.6479999999999997</v>
      </c>
      <c r="O84" s="70">
        <v>6.4859999999999998</v>
      </c>
      <c r="P84" s="70">
        <v>5.39</v>
      </c>
      <c r="Q84" s="70">
        <v>2.0630000000000002</v>
      </c>
      <c r="R84" s="123">
        <v>2.0630000000000002</v>
      </c>
      <c r="S84" s="70">
        <v>3.7589999999999999</v>
      </c>
      <c r="T84" s="70">
        <v>5.4969999999999999</v>
      </c>
      <c r="U84" s="70">
        <v>2.8959999999999999</v>
      </c>
      <c r="V84" s="70">
        <v>2.056</v>
      </c>
      <c r="W84" s="123">
        <v>2.056</v>
      </c>
      <c r="X84" s="70">
        <v>3.726</v>
      </c>
      <c r="Y84" s="70">
        <v>3.1930000000000001</v>
      </c>
      <c r="Z84" s="70">
        <v>0.88900000000000001</v>
      </c>
      <c r="AA84" s="70">
        <v>1.83</v>
      </c>
      <c r="AB84" s="123">
        <v>1.83</v>
      </c>
      <c r="AC84" s="70">
        <v>5.0220000000000002</v>
      </c>
      <c r="AD84" s="70">
        <v>3.839</v>
      </c>
      <c r="AE84" s="70">
        <v>0.94299999999999995</v>
      </c>
      <c r="AF84" s="70">
        <v>1.3340000000000001</v>
      </c>
      <c r="AG84" s="123">
        <v>1.3340000000000001</v>
      </c>
      <c r="AH84" s="70">
        <v>14.114000000000001</v>
      </c>
      <c r="AI84" s="70">
        <v>15.494</v>
      </c>
      <c r="AJ84" s="70">
        <v>9.6440000000000001</v>
      </c>
      <c r="AK84" s="70">
        <v>10.688000000000001</v>
      </c>
      <c r="AL84" s="123">
        <v>10.688000000000001</v>
      </c>
      <c r="AM84" s="70">
        <v>23.698</v>
      </c>
      <c r="AN84" s="70">
        <v>20.913</v>
      </c>
      <c r="AO84" s="70">
        <v>16.888000000000002</v>
      </c>
      <c r="AP84" s="70">
        <v>7.9109999999999996</v>
      </c>
      <c r="AQ84" s="123">
        <v>7.9109999999999996</v>
      </c>
      <c r="AR84" s="70">
        <v>4.8620000000000001</v>
      </c>
      <c r="AS84" s="70">
        <v>8.9809999999999999</v>
      </c>
      <c r="AT84" s="70">
        <v>4.6269999999999998</v>
      </c>
      <c r="AU84" s="70">
        <v>4.0049999999999999</v>
      </c>
      <c r="AV84" s="123">
        <v>4.0049999999999999</v>
      </c>
      <c r="AW84" s="70">
        <v>7.5129999999999999</v>
      </c>
      <c r="AX84" s="70">
        <v>11.619</v>
      </c>
      <c r="AY84" s="70">
        <v>13.422000000000001</v>
      </c>
      <c r="AZ84" s="70">
        <v>16.053999999999998</v>
      </c>
      <c r="BA84" s="123">
        <v>16.053999999999998</v>
      </c>
      <c r="BB84" s="70">
        <v>29.936</v>
      </c>
      <c r="BC84" s="70">
        <v>29.021000000000001</v>
      </c>
      <c r="BD84" s="70">
        <v>30.379000000000001</v>
      </c>
      <c r="BE84" s="70">
        <v>14.885</v>
      </c>
      <c r="BF84" s="169">
        <v>14.885</v>
      </c>
      <c r="BG84" s="70">
        <v>28.2</v>
      </c>
      <c r="BH84" s="70">
        <v>26.765999999999998</v>
      </c>
      <c r="BK84" s="210"/>
    </row>
    <row r="85" spans="1:63" ht="16" x14ac:dyDescent="0.4">
      <c r="A85" s="17" t="s">
        <v>341</v>
      </c>
      <c r="B85" s="17" t="s">
        <v>342</v>
      </c>
      <c r="C85" s="17"/>
      <c r="D85" s="70"/>
      <c r="E85" s="17"/>
      <c r="F85" s="17"/>
      <c r="G85" s="17"/>
      <c r="H85" s="123">
        <v>0.245</v>
      </c>
      <c r="I85" s="70">
        <v>5.9059999999999997</v>
      </c>
      <c r="J85" s="70">
        <v>0.51700000000000002</v>
      </c>
      <c r="K85" s="70">
        <v>0.94199999999999995</v>
      </c>
      <c r="L85" s="70">
        <v>0</v>
      </c>
      <c r="M85" s="123">
        <v>0</v>
      </c>
      <c r="N85" s="70">
        <v>0</v>
      </c>
      <c r="O85" s="70">
        <v>4.0019999999999998</v>
      </c>
      <c r="P85" s="70">
        <v>9.7569999999999997</v>
      </c>
      <c r="Q85" s="70">
        <v>13.525</v>
      </c>
      <c r="R85" s="123">
        <v>13.525</v>
      </c>
      <c r="S85" s="70">
        <v>18.597000000000001</v>
      </c>
      <c r="T85" s="70">
        <v>0</v>
      </c>
      <c r="U85" s="70">
        <v>0</v>
      </c>
      <c r="V85" s="70">
        <v>0</v>
      </c>
      <c r="W85" s="123">
        <v>0</v>
      </c>
      <c r="X85" s="70">
        <v>0</v>
      </c>
      <c r="Y85" s="70">
        <v>0</v>
      </c>
      <c r="Z85" s="70">
        <v>0</v>
      </c>
      <c r="AA85" s="70">
        <v>0</v>
      </c>
      <c r="AB85" s="123">
        <v>0</v>
      </c>
      <c r="AC85" s="70">
        <v>0</v>
      </c>
      <c r="AD85" s="70">
        <v>0</v>
      </c>
      <c r="AE85" s="70">
        <v>1.8009999999999999</v>
      </c>
      <c r="AF85" s="70">
        <v>6.7640000000000002</v>
      </c>
      <c r="AG85" s="123">
        <v>6.7640000000000002</v>
      </c>
      <c r="AH85" s="70">
        <v>0</v>
      </c>
      <c r="AI85" s="70">
        <v>0</v>
      </c>
      <c r="AJ85" s="70">
        <v>0</v>
      </c>
      <c r="AK85" s="70">
        <v>0</v>
      </c>
      <c r="AL85" s="123">
        <v>0</v>
      </c>
      <c r="AM85" s="70">
        <v>3.5999999999999997E-2</v>
      </c>
      <c r="AN85" s="70">
        <v>3.5999999999999997E-2</v>
      </c>
      <c r="AO85" s="70">
        <v>0</v>
      </c>
      <c r="AP85" s="70">
        <v>2.5790000000000002</v>
      </c>
      <c r="AQ85" s="123">
        <v>2.5790000000000002</v>
      </c>
      <c r="AR85" s="70">
        <v>4.5350000000000001</v>
      </c>
      <c r="AS85" s="70">
        <v>4.8860000000000001</v>
      </c>
      <c r="AT85" s="70">
        <v>4.6840000000000002</v>
      </c>
      <c r="AU85" s="70">
        <v>2.7749999999999999</v>
      </c>
      <c r="AV85" s="123">
        <v>2.7749999999999999</v>
      </c>
      <c r="AW85" s="70">
        <v>1.159</v>
      </c>
      <c r="AX85" s="70">
        <v>2.375</v>
      </c>
      <c r="AY85" s="70">
        <v>2.2250000000000001</v>
      </c>
      <c r="AZ85" s="70">
        <v>0</v>
      </c>
      <c r="BA85" s="123">
        <v>0</v>
      </c>
      <c r="BB85" s="70">
        <v>0.91500000000000004</v>
      </c>
      <c r="BC85" s="70">
        <v>9.2530000000000001</v>
      </c>
      <c r="BD85" s="70">
        <v>4.7130000000000001</v>
      </c>
      <c r="BE85" s="70">
        <v>1.5669999999999999</v>
      </c>
      <c r="BF85" s="169">
        <v>1.5669999999999999</v>
      </c>
      <c r="BG85" s="70">
        <v>0.107</v>
      </c>
      <c r="BH85" s="70">
        <v>0.98799999999999999</v>
      </c>
      <c r="BK85" s="210"/>
    </row>
    <row r="86" spans="1:63" ht="16" x14ac:dyDescent="0.4">
      <c r="A86" s="17" t="s">
        <v>179</v>
      </c>
      <c r="B86" s="17" t="s">
        <v>343</v>
      </c>
      <c r="C86" s="17"/>
      <c r="D86" s="70"/>
      <c r="E86" s="17"/>
      <c r="F86" s="17"/>
      <c r="G86" s="17"/>
      <c r="H86" s="123">
        <v>8.6989999999999998</v>
      </c>
      <c r="I86" s="70">
        <v>9.2729999999999997</v>
      </c>
      <c r="J86" s="70">
        <v>11.298999999999999</v>
      </c>
      <c r="K86" s="70">
        <v>10.66</v>
      </c>
      <c r="L86" s="70">
        <v>9.58</v>
      </c>
      <c r="M86" s="123">
        <v>9.58</v>
      </c>
      <c r="N86" s="70">
        <v>10.242000000000001</v>
      </c>
      <c r="O86" s="70">
        <v>9.77</v>
      </c>
      <c r="P86" s="70">
        <v>8.8219999999999992</v>
      </c>
      <c r="Q86" s="70">
        <v>6.375</v>
      </c>
      <c r="R86" s="123">
        <v>6.375</v>
      </c>
      <c r="S86" s="70">
        <v>5.5460000000000003</v>
      </c>
      <c r="T86" s="70">
        <v>3.8719999999999999</v>
      </c>
      <c r="U86" s="70">
        <v>1.4890000000000001</v>
      </c>
      <c r="V86" s="70">
        <v>2.2240000000000002</v>
      </c>
      <c r="W86" s="123">
        <v>2.2240000000000002</v>
      </c>
      <c r="X86" s="70">
        <v>2.8250000000000002</v>
      </c>
      <c r="Y86" s="70">
        <v>6.9169999999999998</v>
      </c>
      <c r="Z86" s="70">
        <v>3.6560000000000001</v>
      </c>
      <c r="AA86" s="70">
        <v>4.45</v>
      </c>
      <c r="AB86" s="123">
        <v>4.45</v>
      </c>
      <c r="AC86" s="70">
        <v>6.157</v>
      </c>
      <c r="AD86" s="70">
        <v>6.1449999999999996</v>
      </c>
      <c r="AE86" s="70">
        <v>3.278</v>
      </c>
      <c r="AF86" s="70">
        <v>18.215</v>
      </c>
      <c r="AG86" s="123">
        <v>18.215</v>
      </c>
      <c r="AH86" s="70">
        <v>10.647</v>
      </c>
      <c r="AI86" s="70">
        <v>8.8320000000000007</v>
      </c>
      <c r="AJ86" s="70">
        <v>7.6890000000000001</v>
      </c>
      <c r="AK86" s="70">
        <v>6.6050000000000004</v>
      </c>
      <c r="AL86" s="123">
        <v>6.6050000000000004</v>
      </c>
      <c r="AM86" s="70">
        <v>6.6210000000000004</v>
      </c>
      <c r="AN86" s="70">
        <v>5.9790000000000001</v>
      </c>
      <c r="AO86" s="70">
        <v>7.4459999999999997</v>
      </c>
      <c r="AP86" s="70">
        <v>4.2679999999999998</v>
      </c>
      <c r="AQ86" s="123">
        <v>4.2679999999999998</v>
      </c>
      <c r="AR86" s="70">
        <v>4.5270000000000001</v>
      </c>
      <c r="AS86" s="70">
        <v>3.4470000000000001</v>
      </c>
      <c r="AT86" s="70">
        <v>4.5650000000000004</v>
      </c>
      <c r="AU86" s="70">
        <v>2.5059999999999998</v>
      </c>
      <c r="AV86" s="123">
        <v>2.5059999999999998</v>
      </c>
      <c r="AW86" s="70">
        <v>3.605</v>
      </c>
      <c r="AX86" s="70">
        <v>4.3</v>
      </c>
      <c r="AY86" s="70">
        <v>3.3490000000000002</v>
      </c>
      <c r="AZ86" s="70">
        <v>13.555999999999999</v>
      </c>
      <c r="BA86" s="123">
        <v>13.555999999999999</v>
      </c>
      <c r="BB86" s="70">
        <v>3.573</v>
      </c>
      <c r="BC86" s="70">
        <v>2.7989999999999999</v>
      </c>
      <c r="BD86" s="70">
        <v>3.246</v>
      </c>
      <c r="BE86" s="70">
        <v>2.4820000000000002</v>
      </c>
      <c r="BF86" s="169">
        <v>2.4820000000000002</v>
      </c>
      <c r="BG86" s="70">
        <v>2.1829999999999998</v>
      </c>
      <c r="BH86" s="70">
        <v>1.9590000000000001</v>
      </c>
      <c r="BK86" s="210"/>
    </row>
    <row r="87" spans="1:63" ht="16" x14ac:dyDescent="0.4">
      <c r="A87" s="17" t="s">
        <v>177</v>
      </c>
      <c r="B87" s="17" t="s">
        <v>344</v>
      </c>
      <c r="C87" s="17"/>
      <c r="D87" s="70"/>
      <c r="E87" s="17"/>
      <c r="F87" s="17"/>
      <c r="G87" s="17"/>
      <c r="H87" s="123">
        <v>159.565</v>
      </c>
      <c r="I87" s="70">
        <v>163.06100000000001</v>
      </c>
      <c r="J87" s="70">
        <v>124.81399999999999</v>
      </c>
      <c r="K87" s="70">
        <v>154.72800000000001</v>
      </c>
      <c r="L87" s="70">
        <v>209.864</v>
      </c>
      <c r="M87" s="123">
        <v>209.864</v>
      </c>
      <c r="N87" s="70">
        <v>224.041</v>
      </c>
      <c r="O87" s="70">
        <v>232.036</v>
      </c>
      <c r="P87" s="70">
        <v>241.601</v>
      </c>
      <c r="Q87" s="70">
        <v>270.52800000000002</v>
      </c>
      <c r="R87" s="123">
        <v>270.52800000000002</v>
      </c>
      <c r="S87" s="70">
        <v>473.46800000000002</v>
      </c>
      <c r="T87" s="70">
        <v>229.30600000000001</v>
      </c>
      <c r="U87" s="70">
        <v>228.05</v>
      </c>
      <c r="V87" s="70">
        <v>348.62299999999999</v>
      </c>
      <c r="W87" s="123">
        <v>348.62299999999999</v>
      </c>
      <c r="X87" s="70">
        <v>270.10899999999998</v>
      </c>
      <c r="Y87" s="70">
        <v>198.446</v>
      </c>
      <c r="Z87" s="70">
        <v>203.01900000000001</v>
      </c>
      <c r="AA87" s="70">
        <v>222.214</v>
      </c>
      <c r="AB87" s="123">
        <v>222.214</v>
      </c>
      <c r="AC87" s="70">
        <v>264.46899999999999</v>
      </c>
      <c r="AD87" s="70">
        <v>326.12599999999998</v>
      </c>
      <c r="AE87" s="70">
        <v>346.47</v>
      </c>
      <c r="AF87" s="70">
        <v>522.62</v>
      </c>
      <c r="AG87" s="123">
        <v>522.62</v>
      </c>
      <c r="AH87" s="70">
        <v>454.67200000000003</v>
      </c>
      <c r="AI87" s="70">
        <v>362.42</v>
      </c>
      <c r="AJ87" s="70">
        <v>357.49900000000002</v>
      </c>
      <c r="AK87" s="70">
        <v>379.964</v>
      </c>
      <c r="AL87" s="123">
        <v>379.964</v>
      </c>
      <c r="AM87" s="70">
        <v>413.80099999999999</v>
      </c>
      <c r="AN87" s="70">
        <v>413.66899999999998</v>
      </c>
      <c r="AO87" s="70">
        <v>463.24299999999999</v>
      </c>
      <c r="AP87" s="70">
        <v>412.91300000000001</v>
      </c>
      <c r="AQ87" s="123">
        <v>412.91300000000001</v>
      </c>
      <c r="AR87" s="70">
        <v>335.35399999999998</v>
      </c>
      <c r="AS87" s="70">
        <v>364.399</v>
      </c>
      <c r="AT87" s="70">
        <v>282.98599999999999</v>
      </c>
      <c r="AU87" s="70">
        <v>333.03199999999998</v>
      </c>
      <c r="AV87" s="123">
        <v>333.03199999999998</v>
      </c>
      <c r="AW87" s="70">
        <v>238.85599999999999</v>
      </c>
      <c r="AX87" s="70">
        <v>267.20499999999998</v>
      </c>
      <c r="AY87" s="70">
        <v>318.81400000000002</v>
      </c>
      <c r="AZ87" s="70">
        <v>263.94200000000001</v>
      </c>
      <c r="BA87" s="123">
        <v>263.94200000000001</v>
      </c>
      <c r="BB87" s="70">
        <v>301.39799999999997</v>
      </c>
      <c r="BC87" s="70">
        <v>268.77600000000001</v>
      </c>
      <c r="BD87" s="70">
        <v>249.62100000000001</v>
      </c>
      <c r="BE87" s="70">
        <v>227.45099999999999</v>
      </c>
      <c r="BF87" s="169">
        <v>227.45099999999999</v>
      </c>
      <c r="BG87" s="70">
        <v>195.00899999999999</v>
      </c>
      <c r="BH87" s="70">
        <v>165.24199999999999</v>
      </c>
      <c r="BK87" s="210"/>
    </row>
    <row r="88" spans="1:63" ht="16.5" thickBot="1" x14ac:dyDescent="0.45">
      <c r="A88" s="58" t="s">
        <v>345</v>
      </c>
      <c r="B88" s="58" t="s">
        <v>346</v>
      </c>
      <c r="C88" s="21"/>
      <c r="D88" s="59"/>
      <c r="E88" s="58"/>
      <c r="F88" s="58"/>
      <c r="G88" s="58"/>
      <c r="H88" s="111">
        <v>391.50400000000002</v>
      </c>
      <c r="I88" s="59">
        <v>409.90600000000001</v>
      </c>
      <c r="J88" s="59">
        <v>361.63099999999997</v>
      </c>
      <c r="K88" s="59">
        <v>340.10500000000002</v>
      </c>
      <c r="L88" s="59">
        <v>363.995</v>
      </c>
      <c r="M88" s="111">
        <v>363.995</v>
      </c>
      <c r="N88" s="59">
        <v>390.84</v>
      </c>
      <c r="O88" s="59">
        <v>399.75599999999997</v>
      </c>
      <c r="P88" s="59">
        <v>427.7</v>
      </c>
      <c r="Q88" s="59">
        <v>446.35199999999998</v>
      </c>
      <c r="R88" s="111">
        <v>446.35199999999998</v>
      </c>
      <c r="S88" s="59">
        <v>675.226</v>
      </c>
      <c r="T88" s="59">
        <v>408.43700000000001</v>
      </c>
      <c r="U88" s="59">
        <v>403.24700000000001</v>
      </c>
      <c r="V88" s="59">
        <v>524.25299999999993</v>
      </c>
      <c r="W88" s="111">
        <v>524.25299999999993</v>
      </c>
      <c r="X88" s="59">
        <v>447.46699999999998</v>
      </c>
      <c r="Y88" s="59">
        <v>389.68600000000004</v>
      </c>
      <c r="Z88" s="59">
        <v>392.38400000000001</v>
      </c>
      <c r="AA88" s="59">
        <v>335.96500000000003</v>
      </c>
      <c r="AB88" s="111">
        <v>335.96500000000003</v>
      </c>
      <c r="AC88" s="59">
        <v>375.94200000000001</v>
      </c>
      <c r="AD88" s="59">
        <v>474.96299999999997</v>
      </c>
      <c r="AE88" s="59">
        <v>486.87900000000002</v>
      </c>
      <c r="AF88" s="59">
        <v>659.93000000000006</v>
      </c>
      <c r="AG88" s="111">
        <v>659.93000000000006</v>
      </c>
      <c r="AH88" s="59">
        <v>602.41399999999999</v>
      </c>
      <c r="AI88" s="59">
        <v>505.86</v>
      </c>
      <c r="AJ88" s="59">
        <v>510.37200000000007</v>
      </c>
      <c r="AK88" s="59">
        <v>559.67999999999995</v>
      </c>
      <c r="AL88" s="111">
        <v>559.67999999999995</v>
      </c>
      <c r="AM88" s="59">
        <v>585.87400000000002</v>
      </c>
      <c r="AN88" s="59">
        <v>620.86200000000008</v>
      </c>
      <c r="AO88" s="59">
        <v>657.7</v>
      </c>
      <c r="AP88" s="59">
        <v>608.71600000000001</v>
      </c>
      <c r="AQ88" s="111">
        <v>608.71600000000001</v>
      </c>
      <c r="AR88" s="59">
        <v>595.77600000000007</v>
      </c>
      <c r="AS88" s="59">
        <v>583.76099999999997</v>
      </c>
      <c r="AT88" s="59">
        <v>482.48099999999999</v>
      </c>
      <c r="AU88" s="59">
        <v>474.44</v>
      </c>
      <c r="AV88" s="111">
        <v>474.44</v>
      </c>
      <c r="AW88" s="59">
        <v>423.14800000000002</v>
      </c>
      <c r="AX88" s="59">
        <v>479.58299999999997</v>
      </c>
      <c r="AY88" s="59">
        <v>514.37400000000002</v>
      </c>
      <c r="AZ88" s="59">
        <v>464.18100000000004</v>
      </c>
      <c r="BA88" s="111">
        <v>464.18100000000004</v>
      </c>
      <c r="BB88" s="59">
        <v>499.90599999999995</v>
      </c>
      <c r="BC88" s="59">
        <v>503.39400740999997</v>
      </c>
      <c r="BD88" s="59">
        <v>439.10900000000004</v>
      </c>
      <c r="BE88" s="59">
        <v>387.33500000000004</v>
      </c>
      <c r="BF88" s="167">
        <v>387.33500000000004</v>
      </c>
      <c r="BG88" s="59">
        <v>396.69799999999998</v>
      </c>
      <c r="BH88" s="59">
        <v>388.51199999999994</v>
      </c>
      <c r="BK88" s="210"/>
    </row>
    <row r="89" spans="1:63" ht="16.5" thickBot="1" x14ac:dyDescent="0.45">
      <c r="A89" s="145" t="s">
        <v>347</v>
      </c>
      <c r="B89" s="145" t="s">
        <v>348</v>
      </c>
      <c r="C89" s="21"/>
      <c r="D89" s="81"/>
      <c r="E89" s="145"/>
      <c r="F89" s="145"/>
      <c r="G89" s="145"/>
      <c r="H89" s="146">
        <v>1207.798</v>
      </c>
      <c r="I89" s="81">
        <v>1228.4349999999999</v>
      </c>
      <c r="J89" s="81">
        <v>1184.048</v>
      </c>
      <c r="K89" s="81">
        <v>1179.585</v>
      </c>
      <c r="L89" s="81">
        <v>1231.7339999999999</v>
      </c>
      <c r="M89" s="146">
        <v>1232.3399999999999</v>
      </c>
      <c r="N89" s="81">
        <v>1247.21</v>
      </c>
      <c r="O89" s="81">
        <v>1250.5940000000001</v>
      </c>
      <c r="P89" s="81">
        <v>1288.79</v>
      </c>
      <c r="Q89" s="81">
        <v>1303.0930000000001</v>
      </c>
      <c r="R89" s="146">
        <v>1303.0930000000001</v>
      </c>
      <c r="S89" s="81">
        <v>1543.8579999999999</v>
      </c>
      <c r="T89" s="81">
        <v>1355.954</v>
      </c>
      <c r="U89" s="81">
        <v>1365.9292499999999</v>
      </c>
      <c r="V89" s="81">
        <v>1724.2</v>
      </c>
      <c r="W89" s="146">
        <v>1724.2</v>
      </c>
      <c r="X89" s="81">
        <v>1743.212</v>
      </c>
      <c r="Y89" s="81">
        <v>1757.395</v>
      </c>
      <c r="Z89" s="81">
        <v>1788.5519999999999</v>
      </c>
      <c r="AA89" s="81">
        <v>1778.1150000000002</v>
      </c>
      <c r="AB89" s="146">
        <v>1778.1150000000002</v>
      </c>
      <c r="AC89" s="81">
        <v>1841.6619999999998</v>
      </c>
      <c r="AD89" s="81">
        <v>1939.8360000000002</v>
      </c>
      <c r="AE89" s="81">
        <v>1955.48</v>
      </c>
      <c r="AF89" s="81">
        <v>1972.1569999999999</v>
      </c>
      <c r="AG89" s="146">
        <v>1972.1569999999999</v>
      </c>
      <c r="AH89" s="81">
        <v>1913.4390000000001</v>
      </c>
      <c r="AI89" s="81">
        <v>1608.8290000000002</v>
      </c>
      <c r="AJ89" s="81">
        <v>1591.7560000000001</v>
      </c>
      <c r="AK89" s="81">
        <v>1612.9699999999998</v>
      </c>
      <c r="AL89" s="146">
        <v>1612.9699999999998</v>
      </c>
      <c r="AM89" s="81">
        <v>1631.614</v>
      </c>
      <c r="AN89" s="81">
        <v>1623.8650000000002</v>
      </c>
      <c r="AO89" s="81">
        <v>1644.5529999999999</v>
      </c>
      <c r="AP89" s="81">
        <v>1780.3079999999995</v>
      </c>
      <c r="AQ89" s="146">
        <v>1780.3079999999995</v>
      </c>
      <c r="AR89" s="81">
        <v>1792.6399999999999</v>
      </c>
      <c r="AS89" s="81">
        <v>1755.0260000000001</v>
      </c>
      <c r="AT89" s="81">
        <v>1676.1869999999999</v>
      </c>
      <c r="AU89" s="81">
        <v>1701.3650000000002</v>
      </c>
      <c r="AV89" s="146">
        <v>1701.3650000000002</v>
      </c>
      <c r="AW89" s="81">
        <v>1644.5530000000001</v>
      </c>
      <c r="AX89" s="81">
        <v>1678.643</v>
      </c>
      <c r="AY89" s="81">
        <v>1704.6830000000002</v>
      </c>
      <c r="AZ89" s="81">
        <v>1682.4460000000001</v>
      </c>
      <c r="BA89" s="146">
        <v>1682.4460000000001</v>
      </c>
      <c r="BB89" s="81">
        <v>1723.9929999999999</v>
      </c>
      <c r="BC89" s="81">
        <v>1737.05900741</v>
      </c>
      <c r="BD89" s="81">
        <v>1692.2410000000004</v>
      </c>
      <c r="BE89" s="81">
        <v>1636.8720000000001</v>
      </c>
      <c r="BF89" s="176">
        <v>1636.8720000000001</v>
      </c>
      <c r="BG89" s="81">
        <v>1646.1100000000001</v>
      </c>
      <c r="BH89" s="81">
        <v>1640.6569999999999</v>
      </c>
      <c r="BK89" s="210"/>
    </row>
    <row r="90" spans="1:63" x14ac:dyDescent="0.35">
      <c r="D90"/>
      <c r="E90"/>
      <c r="F90"/>
      <c r="G90"/>
      <c r="H90"/>
      <c r="I90"/>
      <c r="J90"/>
      <c r="K90"/>
      <c r="L90"/>
      <c r="N90"/>
      <c r="O90"/>
      <c r="P90"/>
      <c r="Q90"/>
      <c r="S90"/>
      <c r="T90"/>
      <c r="U90"/>
      <c r="V90"/>
      <c r="X90"/>
      <c r="Y90"/>
      <c r="Z90"/>
      <c r="AA90"/>
      <c r="AC90" s="155"/>
      <c r="AD90"/>
      <c r="AE90"/>
      <c r="AF90"/>
      <c r="AH90"/>
      <c r="AI90"/>
      <c r="AJ90"/>
      <c r="AK90"/>
      <c r="AM90"/>
      <c r="AN90"/>
      <c r="AO90"/>
      <c r="AP90"/>
      <c r="AR90"/>
      <c r="AS90"/>
      <c r="AT90"/>
      <c r="AU90"/>
      <c r="AW90" s="155"/>
      <c r="AX90"/>
      <c r="AY90"/>
      <c r="AZ90"/>
      <c r="BB90"/>
      <c r="BC90"/>
      <c r="BD90"/>
      <c r="BF90" s="135"/>
      <c r="BK90" s="210"/>
    </row>
    <row r="91" spans="1:63" ht="16" x14ac:dyDescent="0.4">
      <c r="A91" s="156" t="s">
        <v>349</v>
      </c>
      <c r="B91" s="156" t="s">
        <v>350</v>
      </c>
      <c r="C91" s="5"/>
      <c r="D91" s="108"/>
      <c r="E91" s="156"/>
      <c r="F91" s="156"/>
      <c r="G91" s="156"/>
      <c r="H91" s="109"/>
      <c r="I91" s="108"/>
      <c r="J91" s="108"/>
      <c r="K91" s="108"/>
      <c r="L91" s="108">
        <f>+L93-L92</f>
        <v>554.36500000000001</v>
      </c>
      <c r="M91" s="109">
        <f>+M93-M92</f>
        <v>554.36500000000001</v>
      </c>
      <c r="N91" s="108">
        <f t="shared" ref="N91:P91" si="22">+N93-N92</f>
        <v>562.995</v>
      </c>
      <c r="O91" s="108">
        <f t="shared" si="22"/>
        <v>593.31000000000006</v>
      </c>
      <c r="P91" s="108">
        <f t="shared" si="22"/>
        <v>610.88699999999994</v>
      </c>
      <c r="Q91" s="108">
        <f>+Q93-Q92</f>
        <v>632.33400000000006</v>
      </c>
      <c r="R91" s="109">
        <f>+R93-R92</f>
        <v>632.33400000000006</v>
      </c>
      <c r="S91" s="108">
        <f t="shared" ref="S91:U91" si="23">+S93-S92</f>
        <v>658.5100000000001</v>
      </c>
      <c r="T91" s="108">
        <f t="shared" si="23"/>
        <v>661.27300000000002</v>
      </c>
      <c r="U91" s="108">
        <f t="shared" si="23"/>
        <v>674.23699999999997</v>
      </c>
      <c r="V91" s="108">
        <f>+V93-V92</f>
        <v>679.02100000000007</v>
      </c>
      <c r="W91" s="109">
        <f>+W93-W92</f>
        <v>679.02100000000007</v>
      </c>
      <c r="X91" s="108">
        <f t="shared" ref="X91:Z91" si="24">+X93-X92</f>
        <v>678.16600000000005</v>
      </c>
      <c r="Y91" s="108">
        <f t="shared" si="24"/>
        <v>683.78925000000004</v>
      </c>
      <c r="Z91" s="108">
        <f t="shared" si="24"/>
        <v>660.19749999999999</v>
      </c>
      <c r="AA91" s="108">
        <f>+AA93-AA92</f>
        <v>656.63300000000004</v>
      </c>
      <c r="AB91" s="109">
        <f>+AB93-AB92</f>
        <v>656.63300000000004</v>
      </c>
      <c r="AC91" s="108">
        <f t="shared" ref="AC91:AE91" si="25">+AC93-AC92</f>
        <v>634.44500000000005</v>
      </c>
      <c r="AD91" s="108">
        <f t="shared" si="25"/>
        <v>629.10599999999999</v>
      </c>
      <c r="AE91" s="108">
        <f t="shared" si="25"/>
        <v>615.98</v>
      </c>
      <c r="AF91" s="108">
        <f>+AF93-AF92</f>
        <v>713.42900000000009</v>
      </c>
      <c r="AG91" s="109">
        <f>+AG93-AG92</f>
        <v>713.42900000000009</v>
      </c>
      <c r="AH91" s="108">
        <f t="shared" ref="AH91:AJ91" si="26">+AH93-AH92</f>
        <v>676.42899999999997</v>
      </c>
      <c r="AI91" s="108">
        <f t="shared" si="26"/>
        <v>470.49000000000007</v>
      </c>
      <c r="AJ91" s="108">
        <f t="shared" si="26"/>
        <v>476.96999999999997</v>
      </c>
      <c r="AK91" s="108">
        <f>+AK93-AK92</f>
        <v>512.61900000000003</v>
      </c>
      <c r="AL91" s="109">
        <f>+AL93-AL92</f>
        <v>512.61900000000003</v>
      </c>
      <c r="AM91" s="108">
        <f t="shared" ref="AM91:AO91" si="27">+AM93-AM92</f>
        <v>528.17499999999995</v>
      </c>
      <c r="AN91" s="108">
        <f t="shared" si="27"/>
        <v>545.07248100000004</v>
      </c>
      <c r="AO91" s="108">
        <f t="shared" si="27"/>
        <v>535.29200000000003</v>
      </c>
      <c r="AP91" s="108">
        <f>+AP93-AP92</f>
        <v>700.90899999999999</v>
      </c>
      <c r="AQ91" s="109">
        <f>+AQ93-AQ92</f>
        <v>700.90899999999999</v>
      </c>
      <c r="AR91" s="108">
        <f t="shared" ref="AR91:AT91" si="28">+AR93-AR92</f>
        <v>663.072</v>
      </c>
      <c r="AS91" s="108">
        <f t="shared" si="28"/>
        <v>558.1350000000001</v>
      </c>
      <c r="AT91" s="108">
        <f t="shared" si="28"/>
        <v>534.09</v>
      </c>
      <c r="AU91" s="108">
        <v>534.08999999999992</v>
      </c>
      <c r="AV91" s="109">
        <v>534.08999999999992</v>
      </c>
      <c r="AW91" s="108">
        <f t="shared" ref="AW91:AY91" si="29">+AW93-AW92</f>
        <v>535.221</v>
      </c>
      <c r="AX91" s="108">
        <f t="shared" si="29"/>
        <v>564.07400000000007</v>
      </c>
      <c r="AY91" s="108">
        <f t="shared" si="29"/>
        <v>550.15599999999995</v>
      </c>
      <c r="AZ91" s="108">
        <f>+AZ93-AZ92</f>
        <v>525.59799999999996</v>
      </c>
      <c r="BA91" s="109">
        <f>+BA93-BA92</f>
        <v>525.59799999999996</v>
      </c>
      <c r="BB91" s="108">
        <v>536.01900000000001</v>
      </c>
      <c r="BC91" s="108">
        <v>530.52537377910005</v>
      </c>
      <c r="BD91" s="108">
        <v>513.08699999999999</v>
      </c>
      <c r="BE91" s="108">
        <v>477.24523999999997</v>
      </c>
      <c r="BF91" s="171">
        <v>477.24523999999997</v>
      </c>
      <c r="BG91" s="108">
        <v>459.315</v>
      </c>
      <c r="BH91" s="108">
        <v>458.31699999999995</v>
      </c>
      <c r="BK91" s="210"/>
    </row>
    <row r="92" spans="1:63" ht="16.5" thickBot="1" x14ac:dyDescent="0.45">
      <c r="A92" s="9" t="s">
        <v>351</v>
      </c>
      <c r="B92" s="9" t="s">
        <v>352</v>
      </c>
      <c r="C92" s="9"/>
      <c r="D92" s="6"/>
      <c r="E92" s="9"/>
      <c r="F92" s="9"/>
      <c r="G92" s="9"/>
      <c r="H92" s="7"/>
      <c r="I92" s="6"/>
      <c r="J92" s="6"/>
      <c r="K92" s="6"/>
      <c r="L92" s="6">
        <v>7.2</v>
      </c>
      <c r="M92" s="7">
        <v>7.2</v>
      </c>
      <c r="N92" s="6">
        <v>7.7</v>
      </c>
      <c r="O92" s="6">
        <v>7.9</v>
      </c>
      <c r="P92" s="6">
        <v>8.6999999999999993</v>
      </c>
      <c r="Q92" s="6">
        <v>9.9</v>
      </c>
      <c r="R92" s="7">
        <v>9.9</v>
      </c>
      <c r="S92" s="6">
        <v>10.334</v>
      </c>
      <c r="T92" s="6">
        <v>8.1</v>
      </c>
      <c r="U92" s="6">
        <v>8.9</v>
      </c>
      <c r="V92" s="6">
        <v>18.3</v>
      </c>
      <c r="W92" s="7">
        <v>18.3</v>
      </c>
      <c r="X92" s="6">
        <v>18.899999999999999</v>
      </c>
      <c r="Y92" s="6">
        <v>17.852</v>
      </c>
      <c r="Z92" s="6">
        <v>18.7</v>
      </c>
      <c r="AA92" s="6">
        <v>18.3</v>
      </c>
      <c r="AB92" s="7">
        <v>18.3</v>
      </c>
      <c r="AC92" s="6">
        <v>18.5</v>
      </c>
      <c r="AD92" s="6">
        <v>17.8</v>
      </c>
      <c r="AE92" s="6">
        <v>18.3</v>
      </c>
      <c r="AF92" s="6">
        <v>136.69999999999999</v>
      </c>
      <c r="AG92" s="7">
        <v>136.69999999999999</v>
      </c>
      <c r="AH92" s="6">
        <v>135.774</v>
      </c>
      <c r="AI92" s="6">
        <v>136.19999999999999</v>
      </c>
      <c r="AJ92" s="6">
        <v>130.80000000000001</v>
      </c>
      <c r="AK92" s="6">
        <v>112.9</v>
      </c>
      <c r="AL92" s="7">
        <v>112.9</v>
      </c>
      <c r="AM92" s="6">
        <v>116.614</v>
      </c>
      <c r="AN92" s="6">
        <v>116.8</v>
      </c>
      <c r="AO92" s="6">
        <v>115.9</v>
      </c>
      <c r="AP92" s="6">
        <v>117.249</v>
      </c>
      <c r="AQ92" s="7">
        <v>117.249</v>
      </c>
      <c r="AR92" s="6">
        <v>134.1</v>
      </c>
      <c r="AS92" s="6">
        <v>118.47799999999999</v>
      </c>
      <c r="AT92" s="6">
        <v>115.13</v>
      </c>
      <c r="AU92" s="6">
        <v>115.527</v>
      </c>
      <c r="AV92" s="7">
        <v>115.527</v>
      </c>
      <c r="AW92" s="6">
        <v>117.02500000000001</v>
      </c>
      <c r="AX92" s="6">
        <v>108.541</v>
      </c>
      <c r="AY92" s="6">
        <v>100.562</v>
      </c>
      <c r="AZ92" s="6">
        <v>97.051000000000002</v>
      </c>
      <c r="BA92" s="7">
        <v>97.051000000000002</v>
      </c>
      <c r="BB92" s="6">
        <v>94.929000000000002</v>
      </c>
      <c r="BC92" s="6">
        <v>91.053633630900009</v>
      </c>
      <c r="BD92" s="6">
        <v>89.713999999999999</v>
      </c>
      <c r="BE92" s="6">
        <v>89.419759999999997</v>
      </c>
      <c r="BF92" s="158">
        <v>89.419759999999997</v>
      </c>
      <c r="BG92" s="6">
        <v>85.94</v>
      </c>
      <c r="BH92" s="6">
        <v>80.637</v>
      </c>
      <c r="BK92" s="210"/>
    </row>
    <row r="93" spans="1:63" ht="16" x14ac:dyDescent="0.4">
      <c r="A93" s="72" t="s">
        <v>353</v>
      </c>
      <c r="B93" s="72" t="s">
        <v>354</v>
      </c>
      <c r="C93" s="21"/>
      <c r="D93" s="55"/>
      <c r="E93" s="72"/>
      <c r="F93" s="72"/>
      <c r="G93" s="72"/>
      <c r="H93" s="110">
        <v>568.21799999999996</v>
      </c>
      <c r="I93" s="55">
        <v>556.15</v>
      </c>
      <c r="J93" s="55">
        <v>551.01</v>
      </c>
      <c r="K93" s="55">
        <v>555.39</v>
      </c>
      <c r="L93" s="55">
        <v>561.56500000000005</v>
      </c>
      <c r="M93" s="110">
        <v>561.56500000000005</v>
      </c>
      <c r="N93" s="55">
        <v>570.69500000000005</v>
      </c>
      <c r="O93" s="55">
        <v>601.21</v>
      </c>
      <c r="P93" s="55">
        <v>619.58699999999999</v>
      </c>
      <c r="Q93" s="55">
        <v>642.23400000000004</v>
      </c>
      <c r="R93" s="110">
        <v>642.23400000000004</v>
      </c>
      <c r="S93" s="55">
        <v>668.84400000000005</v>
      </c>
      <c r="T93" s="55">
        <v>669.37300000000005</v>
      </c>
      <c r="U93" s="55">
        <v>683.13699999999994</v>
      </c>
      <c r="V93" s="55">
        <v>697.32100000000003</v>
      </c>
      <c r="W93" s="110">
        <v>697.32100000000003</v>
      </c>
      <c r="X93" s="55">
        <v>697.06600000000003</v>
      </c>
      <c r="Y93" s="55">
        <v>701.64125000000001</v>
      </c>
      <c r="Z93" s="55">
        <v>678.89750000000004</v>
      </c>
      <c r="AA93" s="55">
        <v>674.93299999999999</v>
      </c>
      <c r="AB93" s="110">
        <v>674.93299999999999</v>
      </c>
      <c r="AC93" s="55">
        <v>652.94500000000005</v>
      </c>
      <c r="AD93" s="55">
        <v>646.90599999999995</v>
      </c>
      <c r="AE93" s="55">
        <v>634.28</v>
      </c>
      <c r="AF93" s="55">
        <v>850.12900000000002</v>
      </c>
      <c r="AG93" s="110">
        <v>850.12900000000002</v>
      </c>
      <c r="AH93" s="55">
        <v>812.20299999999997</v>
      </c>
      <c r="AI93" s="55">
        <v>606.69000000000005</v>
      </c>
      <c r="AJ93" s="55">
        <v>607.77</v>
      </c>
      <c r="AK93" s="55">
        <f>625.519</f>
        <v>625.51900000000001</v>
      </c>
      <c r="AL93" s="110">
        <v>625.51900000000001</v>
      </c>
      <c r="AM93" s="55">
        <v>644.78899999999999</v>
      </c>
      <c r="AN93" s="55">
        <v>661.87248099999999</v>
      </c>
      <c r="AO93" s="55">
        <v>651.19200000000001</v>
      </c>
      <c r="AP93" s="55">
        <v>818.15800000000002</v>
      </c>
      <c r="AQ93" s="110">
        <v>818.15800000000002</v>
      </c>
      <c r="AR93" s="55">
        <v>797.17200000000003</v>
      </c>
      <c r="AS93" s="55">
        <v>676.61300000000006</v>
      </c>
      <c r="AT93" s="55">
        <v>649.22</v>
      </c>
      <c r="AU93" s="55">
        <v>649.61699999999996</v>
      </c>
      <c r="AV93" s="110">
        <v>649.61699999999996</v>
      </c>
      <c r="AW93" s="55">
        <v>652.24599999999998</v>
      </c>
      <c r="AX93" s="55">
        <v>672.61500000000001</v>
      </c>
      <c r="AY93" s="55">
        <v>650.71799999999996</v>
      </c>
      <c r="AZ93" s="55">
        <v>622.649</v>
      </c>
      <c r="BA93" s="159">
        <v>622.649</v>
      </c>
      <c r="BB93" s="55">
        <v>630.94799999999998</v>
      </c>
      <c r="BC93" s="55">
        <v>621.57900741000003</v>
      </c>
      <c r="BD93" s="55">
        <v>602.80100000000004</v>
      </c>
      <c r="BE93" s="55">
        <v>566.66499999999996</v>
      </c>
      <c r="BF93" s="159">
        <v>566.66499999999996</v>
      </c>
      <c r="BG93" s="55">
        <v>545.255</v>
      </c>
      <c r="BH93" s="55">
        <v>538.95399999999995</v>
      </c>
      <c r="BK93" s="210"/>
    </row>
    <row r="94" spans="1:63" ht="16" x14ac:dyDescent="0.4">
      <c r="A94" s="9" t="s">
        <v>355</v>
      </c>
      <c r="B94" s="9" t="s">
        <v>356</v>
      </c>
      <c r="C94" s="9"/>
      <c r="D94" s="6"/>
      <c r="E94" s="9"/>
      <c r="F94" s="9"/>
      <c r="G94" s="9"/>
      <c r="H94" s="7"/>
      <c r="I94" s="6"/>
      <c r="J94" s="6"/>
      <c r="K94" s="6"/>
      <c r="L94" s="6"/>
      <c r="M94" s="7"/>
      <c r="N94" s="6"/>
      <c r="O94" s="6"/>
      <c r="P94" s="6"/>
      <c r="Q94" s="6"/>
      <c r="R94" s="7"/>
      <c r="S94" s="6"/>
      <c r="T94" s="6"/>
      <c r="U94" s="6"/>
      <c r="V94" s="6"/>
      <c r="W94" s="7"/>
      <c r="X94" s="6"/>
      <c r="Y94" s="6"/>
      <c r="Z94" s="6"/>
      <c r="AA94" s="6"/>
      <c r="AB94" s="7"/>
      <c r="AC94" s="6"/>
      <c r="AD94" s="6"/>
      <c r="AE94" s="6"/>
      <c r="AF94" s="6">
        <v>36.835000000000001</v>
      </c>
      <c r="AG94" s="7">
        <v>36.835000000000001</v>
      </c>
      <c r="AH94" s="6">
        <v>36.835000000000001</v>
      </c>
      <c r="AI94" s="6">
        <v>36.835000000000001</v>
      </c>
      <c r="AJ94" s="6">
        <v>36.835000000000001</v>
      </c>
      <c r="AK94" s="6">
        <v>36.835000000000001</v>
      </c>
      <c r="AL94" s="7">
        <v>36.835000000000001</v>
      </c>
      <c r="AM94" s="6">
        <v>36.835000000000001</v>
      </c>
      <c r="AN94" s="6">
        <v>36.835000000000001</v>
      </c>
      <c r="AO94" s="6">
        <v>17.843</v>
      </c>
      <c r="AP94" s="6">
        <v>17.843</v>
      </c>
      <c r="AQ94" s="7">
        <v>17.843</v>
      </c>
      <c r="AR94" s="6">
        <v>17.843</v>
      </c>
      <c r="AS94" s="6">
        <v>17.843</v>
      </c>
      <c r="AT94" s="6">
        <v>3.1429999999999998</v>
      </c>
      <c r="AU94" s="6">
        <v>4.8680000000000003</v>
      </c>
      <c r="AV94" s="7">
        <v>4.8680000000000003</v>
      </c>
      <c r="AW94" s="6">
        <v>14.036</v>
      </c>
      <c r="AX94" s="6">
        <v>35.973999999999997</v>
      </c>
      <c r="AY94" s="6">
        <v>29.015000000000001</v>
      </c>
      <c r="AZ94" s="6">
        <v>29.015000000000001</v>
      </c>
      <c r="BA94" s="7">
        <v>29.015000000000001</v>
      </c>
      <c r="BB94" s="6">
        <v>29.015000000000001</v>
      </c>
      <c r="BC94" s="6">
        <v>29.015000000000001</v>
      </c>
      <c r="BD94" s="6">
        <v>29.015000000000001</v>
      </c>
      <c r="BE94" s="6">
        <v>29.015000000000001</v>
      </c>
      <c r="BF94" s="158">
        <v>29.015000000000001</v>
      </c>
      <c r="BG94" s="6">
        <v>31.89</v>
      </c>
      <c r="BH94" s="6">
        <v>32.293999999999997</v>
      </c>
      <c r="BK94" s="210"/>
    </row>
    <row r="95" spans="1:63" ht="16" x14ac:dyDescent="0.4">
      <c r="A95" s="9" t="s">
        <v>357</v>
      </c>
      <c r="B95" s="9" t="s">
        <v>358</v>
      </c>
      <c r="C95" s="9"/>
      <c r="D95" s="6"/>
      <c r="E95" s="9"/>
      <c r="F95" s="9"/>
      <c r="G95" s="9"/>
      <c r="H95" s="7">
        <v>393.29399999999998</v>
      </c>
      <c r="I95" s="6">
        <v>393.71000000000004</v>
      </c>
      <c r="J95" s="6">
        <v>377.28300000000002</v>
      </c>
      <c r="K95" s="6">
        <v>376.61599999999999</v>
      </c>
      <c r="L95" s="6">
        <v>415.95400000000001</v>
      </c>
      <c r="M95" s="7">
        <v>415.95400000000001</v>
      </c>
      <c r="N95" s="6">
        <v>415.95400000000001</v>
      </c>
      <c r="O95" s="6">
        <v>407.11500000000001</v>
      </c>
      <c r="P95" s="6">
        <v>387.60500000000002</v>
      </c>
      <c r="Q95" s="6">
        <v>414.84699999999998</v>
      </c>
      <c r="R95" s="7">
        <v>414.84699999999998</v>
      </c>
      <c r="S95" s="6">
        <v>584.52599999999995</v>
      </c>
      <c r="T95" s="6">
        <v>371.697</v>
      </c>
      <c r="U95" s="6">
        <v>371.72800000000001</v>
      </c>
      <c r="V95" s="6">
        <v>498.08400000000006</v>
      </c>
      <c r="W95" s="7">
        <v>498.08400000000006</v>
      </c>
      <c r="X95" s="6">
        <v>642.73699999999997</v>
      </c>
      <c r="Y95" s="6">
        <v>638.47699999999998</v>
      </c>
      <c r="Z95" s="6">
        <v>690.36199999999997</v>
      </c>
      <c r="AA95" s="6">
        <v>705.04899999999998</v>
      </c>
      <c r="AB95" s="7">
        <v>705.04899999999998</v>
      </c>
      <c r="AC95" s="6">
        <v>778.774</v>
      </c>
      <c r="AD95" s="6">
        <v>811.93600000000004</v>
      </c>
      <c r="AE95" s="6">
        <v>830.82600000000002</v>
      </c>
      <c r="AF95" s="6">
        <v>633.95699999999999</v>
      </c>
      <c r="AG95" s="7">
        <v>633.95699999999999</v>
      </c>
      <c r="AH95" s="6">
        <v>621.60900000000004</v>
      </c>
      <c r="AI95" s="6">
        <v>505.23899999999998</v>
      </c>
      <c r="AJ95" s="6">
        <v>490.67200000000003</v>
      </c>
      <c r="AK95" s="6">
        <v>452.26900000000001</v>
      </c>
      <c r="AL95" s="7">
        <v>452.26900000000001</v>
      </c>
      <c r="AM95" s="6">
        <v>319.70400000000001</v>
      </c>
      <c r="AN95" s="6">
        <v>289.97899999999998</v>
      </c>
      <c r="AO95" s="6">
        <v>279.92399999999998</v>
      </c>
      <c r="AP95" s="6">
        <v>286.108</v>
      </c>
      <c r="AQ95" s="7">
        <v>286.108</v>
      </c>
      <c r="AR95" s="6">
        <v>368.46800000000002</v>
      </c>
      <c r="AS95" s="6">
        <v>479.01900000000001</v>
      </c>
      <c r="AT95" s="6">
        <v>458.27199999999999</v>
      </c>
      <c r="AU95" s="6">
        <v>440.23099999999999</v>
      </c>
      <c r="AV95" s="7">
        <v>440.23099999999999</v>
      </c>
      <c r="AW95" s="6">
        <v>431.19100000000003</v>
      </c>
      <c r="AX95" s="6">
        <v>428.5</v>
      </c>
      <c r="AY95" s="6">
        <v>467.524</v>
      </c>
      <c r="AZ95" s="6">
        <v>446.44100000000003</v>
      </c>
      <c r="BA95" s="7">
        <v>446.44100000000003</v>
      </c>
      <c r="BB95" s="6">
        <v>464.88300000000004</v>
      </c>
      <c r="BC95" s="6">
        <v>485.49099999999999</v>
      </c>
      <c r="BD95" s="6">
        <v>486.92599999999999</v>
      </c>
      <c r="BE95" s="6">
        <v>480.56799999999998</v>
      </c>
      <c r="BF95" s="158">
        <v>480.56799999999998</v>
      </c>
      <c r="BG95" s="6">
        <v>532.80899999999997</v>
      </c>
      <c r="BH95" s="6">
        <v>533.46400000000006</v>
      </c>
      <c r="BK95" s="210"/>
    </row>
    <row r="96" spans="1:63" ht="16" x14ac:dyDescent="0.4">
      <c r="A96" s="9" t="s">
        <v>341</v>
      </c>
      <c r="B96" s="9" t="s">
        <v>359</v>
      </c>
      <c r="C96" s="9"/>
      <c r="D96" s="6"/>
      <c r="E96" s="9"/>
      <c r="F96" s="9"/>
      <c r="G96" s="9"/>
      <c r="H96" s="7">
        <v>7.6470000000000002</v>
      </c>
      <c r="I96" s="6">
        <v>9.0679999999999996</v>
      </c>
      <c r="J96" s="6">
        <v>10.968999999999999</v>
      </c>
      <c r="K96" s="6">
        <v>9.9160000000000004</v>
      </c>
      <c r="L96" s="6">
        <v>11.747999999999999</v>
      </c>
      <c r="M96" s="7">
        <v>11.747999999999999</v>
      </c>
      <c r="N96" s="6">
        <v>9.4730000000000008</v>
      </c>
      <c r="O96" s="6">
        <v>5.9660000000000002</v>
      </c>
      <c r="P96" s="6">
        <v>6.2939999999999996</v>
      </c>
      <c r="Q96" s="6">
        <v>3.6190000000000002</v>
      </c>
      <c r="R96" s="7">
        <v>3.6190000000000002</v>
      </c>
      <c r="S96" s="6">
        <v>3.7679999999999998</v>
      </c>
      <c r="T96" s="6">
        <v>6.649</v>
      </c>
      <c r="U96" s="6">
        <v>4.657</v>
      </c>
      <c r="V96" s="6">
        <v>4.673</v>
      </c>
      <c r="W96" s="7">
        <v>4.673</v>
      </c>
      <c r="X96" s="6">
        <v>8.3230000000000004</v>
      </c>
      <c r="Y96" s="6">
        <v>8.2520000000000007</v>
      </c>
      <c r="Z96" s="6">
        <v>11.628</v>
      </c>
      <c r="AA96" s="6">
        <v>6.4139999999999997</v>
      </c>
      <c r="AB96" s="7">
        <v>6.4139999999999997</v>
      </c>
      <c r="AC96" s="6">
        <v>9.32</v>
      </c>
      <c r="AD96" s="6">
        <v>8.8469999999999995</v>
      </c>
      <c r="AE96" s="6">
        <v>11.827</v>
      </c>
      <c r="AF96" s="6">
        <v>5.6020000000000003</v>
      </c>
      <c r="AG96" s="7">
        <v>5.6020000000000003</v>
      </c>
      <c r="AH96" s="6">
        <v>6.4160000000000004</v>
      </c>
      <c r="AI96" s="6">
        <v>3.8690000000000002</v>
      </c>
      <c r="AJ96" s="6">
        <v>4.7009999999999996</v>
      </c>
      <c r="AK96" s="6">
        <v>2.161</v>
      </c>
      <c r="AL96" s="7">
        <v>2.161</v>
      </c>
      <c r="AM96" s="6">
        <v>1.0469999999999999</v>
      </c>
      <c r="AN96" s="6">
        <v>0</v>
      </c>
      <c r="AO96" s="6">
        <v>0</v>
      </c>
      <c r="AP96" s="6">
        <v>0</v>
      </c>
      <c r="AQ96" s="7">
        <v>0</v>
      </c>
      <c r="AR96" s="6">
        <v>0</v>
      </c>
      <c r="AS96" s="6">
        <v>0.05</v>
      </c>
      <c r="AT96" s="6">
        <v>0</v>
      </c>
      <c r="AU96" s="6">
        <v>3.4409999999999998</v>
      </c>
      <c r="AV96" s="7">
        <v>3.4409999999999998</v>
      </c>
      <c r="AW96" s="6">
        <v>2.0489999999999999</v>
      </c>
      <c r="AX96" s="6">
        <v>1.196</v>
      </c>
      <c r="AY96" s="6">
        <v>5.25</v>
      </c>
      <c r="AZ96" s="6">
        <v>4.0289999999999999</v>
      </c>
      <c r="BA96" s="7">
        <v>4.0289999999999999</v>
      </c>
      <c r="BB96" s="6">
        <v>2.8860000000000001</v>
      </c>
      <c r="BC96" s="6">
        <v>2.7909999999999999</v>
      </c>
      <c r="BD96" s="6">
        <v>2.141</v>
      </c>
      <c r="BE96" s="6">
        <v>1.224</v>
      </c>
      <c r="BF96" s="158">
        <v>1.224</v>
      </c>
      <c r="BG96" s="6">
        <v>-0.128</v>
      </c>
      <c r="BH96" s="6">
        <v>0.31900000000000001</v>
      </c>
      <c r="BK96" s="210"/>
    </row>
    <row r="97" spans="1:63" ht="16" x14ac:dyDescent="0.4">
      <c r="A97" s="9" t="s">
        <v>360</v>
      </c>
      <c r="B97" s="9" t="s">
        <v>361</v>
      </c>
      <c r="C97" s="9"/>
      <c r="D97" s="6"/>
      <c r="E97" s="9"/>
      <c r="F97" s="9"/>
      <c r="G97" s="9"/>
      <c r="H97" s="7">
        <v>20.56</v>
      </c>
      <c r="I97" s="6">
        <v>21.012</v>
      </c>
      <c r="J97" s="6">
        <v>20.614000000000001</v>
      </c>
      <c r="K97" s="6">
        <v>18.879000000000001</v>
      </c>
      <c r="L97" s="6">
        <v>20.512</v>
      </c>
      <c r="M97" s="7">
        <v>21.117999999999999</v>
      </c>
      <c r="N97" s="6">
        <v>20.29</v>
      </c>
      <c r="O97" s="6">
        <v>22.175999999999998</v>
      </c>
      <c r="P97" s="6">
        <v>23.501000000000001</v>
      </c>
      <c r="Q97" s="6">
        <v>23.823</v>
      </c>
      <c r="R97" s="7">
        <v>23.823</v>
      </c>
      <c r="S97" s="6">
        <v>28.131</v>
      </c>
      <c r="T97" s="6">
        <v>26.745999999999999</v>
      </c>
      <c r="U97" s="6">
        <v>28.344999999999999</v>
      </c>
      <c r="V97" s="6">
        <v>40</v>
      </c>
      <c r="W97" s="7">
        <v>40</v>
      </c>
      <c r="X97" s="6">
        <v>40.020000000000003</v>
      </c>
      <c r="Y97" s="6">
        <v>39.92</v>
      </c>
      <c r="Z97" s="6">
        <v>38.42</v>
      </c>
      <c r="AA97" s="6">
        <v>37.575000000000003</v>
      </c>
      <c r="AB97" s="7">
        <v>37.575000000000003</v>
      </c>
      <c r="AC97" s="6">
        <v>37.387</v>
      </c>
      <c r="AD97" s="6">
        <v>36.274999999999999</v>
      </c>
      <c r="AE97" s="6">
        <v>36.482999999999997</v>
      </c>
      <c r="AF97" s="6">
        <v>21.661000000000001</v>
      </c>
      <c r="AG97" s="7">
        <v>21.661000000000001</v>
      </c>
      <c r="AH97" s="6">
        <v>20.448</v>
      </c>
      <c r="AI97" s="6">
        <v>19.838000000000001</v>
      </c>
      <c r="AJ97" s="6">
        <v>19.768000000000001</v>
      </c>
      <c r="AK97" s="6">
        <v>0</v>
      </c>
      <c r="AL97" s="7">
        <v>0</v>
      </c>
      <c r="AM97" s="6">
        <v>0</v>
      </c>
      <c r="AN97" s="6">
        <v>0.41099999999999998</v>
      </c>
      <c r="AO97" s="6">
        <v>0.35599999999999998</v>
      </c>
      <c r="AP97" s="6">
        <v>0</v>
      </c>
      <c r="AQ97" s="7">
        <v>0</v>
      </c>
      <c r="AR97" s="6">
        <v>0</v>
      </c>
      <c r="AS97" s="6">
        <v>0</v>
      </c>
      <c r="AT97" s="6">
        <v>0</v>
      </c>
      <c r="AU97" s="6">
        <v>0</v>
      </c>
      <c r="AV97" s="7">
        <v>0</v>
      </c>
      <c r="AW97" s="6">
        <v>0</v>
      </c>
      <c r="AX97" s="6">
        <v>0</v>
      </c>
      <c r="AY97" s="6">
        <v>0</v>
      </c>
      <c r="AZ97" s="6">
        <v>0</v>
      </c>
      <c r="BA97" s="7">
        <v>0</v>
      </c>
      <c r="BB97" s="6">
        <v>0</v>
      </c>
      <c r="BC97" s="6">
        <v>0</v>
      </c>
      <c r="BD97" s="6">
        <v>0</v>
      </c>
      <c r="BE97" s="6">
        <v>0</v>
      </c>
      <c r="BF97" s="158">
        <v>0</v>
      </c>
      <c r="BG97" s="6">
        <v>0</v>
      </c>
      <c r="BH97" s="6">
        <v>0</v>
      </c>
      <c r="BK97" s="210"/>
    </row>
    <row r="98" spans="1:63" ht="16" x14ac:dyDescent="0.4">
      <c r="A98" s="9" t="s">
        <v>362</v>
      </c>
      <c r="B98" s="9" t="s">
        <v>363</v>
      </c>
      <c r="C98" s="9"/>
      <c r="D98" s="6"/>
      <c r="E98" s="9"/>
      <c r="F98" s="9"/>
      <c r="G98" s="9"/>
      <c r="H98" s="7">
        <v>9.26</v>
      </c>
      <c r="I98" s="6">
        <v>9.6280000000000001</v>
      </c>
      <c r="J98" s="6">
        <v>6.6479999999999997</v>
      </c>
      <c r="K98" s="6">
        <v>6.5019999999999998</v>
      </c>
      <c r="L98" s="6">
        <v>6.1669999999999998</v>
      </c>
      <c r="M98" s="7">
        <v>6.1669999999999998</v>
      </c>
      <c r="N98" s="6">
        <v>7.234</v>
      </c>
      <c r="O98" s="6">
        <v>6.1420000000000003</v>
      </c>
      <c r="P98" s="6">
        <v>6.3869999999999996</v>
      </c>
      <c r="Q98" s="6">
        <v>4.1669999999999998</v>
      </c>
      <c r="R98" s="7">
        <v>4.1669999999999998</v>
      </c>
      <c r="S98" s="6">
        <v>4.2670000000000003</v>
      </c>
      <c r="T98" s="6">
        <v>4.4240000000000004</v>
      </c>
      <c r="U98" s="6">
        <v>2.8079999999999998</v>
      </c>
      <c r="V98" s="6">
        <v>12.287000000000001</v>
      </c>
      <c r="W98" s="7">
        <v>12.287000000000001</v>
      </c>
      <c r="X98" s="6">
        <v>12.472</v>
      </c>
      <c r="Y98" s="6">
        <v>12.535</v>
      </c>
      <c r="Z98" s="6">
        <v>12.561</v>
      </c>
      <c r="AA98" s="6">
        <v>12.81</v>
      </c>
      <c r="AB98" s="7">
        <v>12.81</v>
      </c>
      <c r="AC98" s="6">
        <v>12.747</v>
      </c>
      <c r="AD98" s="6">
        <v>12.827999999999999</v>
      </c>
      <c r="AE98" s="6">
        <v>12.632</v>
      </c>
      <c r="AF98" s="6">
        <v>2.8319999999999999</v>
      </c>
      <c r="AG98" s="7">
        <v>2.8319999999999999</v>
      </c>
      <c r="AH98" s="6">
        <v>2.2799999999999998</v>
      </c>
      <c r="AI98" s="6">
        <v>50.566000000000003</v>
      </c>
      <c r="AJ98" s="6">
        <v>50.338999999999999</v>
      </c>
      <c r="AK98" s="6">
        <v>51.225000000000001</v>
      </c>
      <c r="AL98" s="7">
        <v>51.225000000000001</v>
      </c>
      <c r="AM98" s="6">
        <v>51.488</v>
      </c>
      <c r="AN98" s="6">
        <v>51.433999999999997</v>
      </c>
      <c r="AO98" s="6">
        <v>52.491999999999997</v>
      </c>
      <c r="AP98" s="6">
        <v>27.983000000000001</v>
      </c>
      <c r="AQ98" s="7">
        <v>27.983000000000001</v>
      </c>
      <c r="AR98" s="6">
        <v>28.265000000000001</v>
      </c>
      <c r="AS98" s="6">
        <v>28.997</v>
      </c>
      <c r="AT98" s="6">
        <v>28.907</v>
      </c>
      <c r="AU98" s="6">
        <v>28.288</v>
      </c>
      <c r="AV98" s="7">
        <v>28.288</v>
      </c>
      <c r="AW98" s="6">
        <v>28.016999999999999</v>
      </c>
      <c r="AX98" s="6">
        <v>28.716999999999999</v>
      </c>
      <c r="AY98" s="6">
        <v>29.373999999999999</v>
      </c>
      <c r="AZ98" s="6">
        <v>29.504999999999999</v>
      </c>
      <c r="BA98" s="7">
        <v>29.504999999999999</v>
      </c>
      <c r="BB98" s="6">
        <v>29.437000000000001</v>
      </c>
      <c r="BC98" s="6">
        <v>29.885000000000002</v>
      </c>
      <c r="BD98" s="6">
        <v>30.242999999999999</v>
      </c>
      <c r="BE98" s="6">
        <v>37.335000000000001</v>
      </c>
      <c r="BF98" s="158">
        <v>37.335000000000001</v>
      </c>
      <c r="BG98" s="6">
        <v>37.576000000000001</v>
      </c>
      <c r="BH98" s="6">
        <v>37.902999999999999</v>
      </c>
      <c r="BK98" s="210"/>
    </row>
    <row r="99" spans="1:63" ht="16" x14ac:dyDescent="0.4">
      <c r="A99" s="9" t="s">
        <v>364</v>
      </c>
      <c r="B99" s="9" t="s">
        <v>365</v>
      </c>
      <c r="C99" s="9"/>
      <c r="D99" s="6"/>
      <c r="E99" s="9"/>
      <c r="F99" s="9"/>
      <c r="G99" s="9"/>
      <c r="H99" s="7">
        <v>11.282</v>
      </c>
      <c r="I99" s="6">
        <v>10.711</v>
      </c>
      <c r="J99" s="6">
        <v>10.959999999999999</v>
      </c>
      <c r="K99" s="6">
        <v>10.329000000000001</v>
      </c>
      <c r="L99" s="6">
        <v>9.6999999999999993</v>
      </c>
      <c r="M99" s="7">
        <v>9.6999999999999993</v>
      </c>
      <c r="N99" s="6">
        <v>9.7010000000000005</v>
      </c>
      <c r="O99" s="6">
        <v>9.277000000000001</v>
      </c>
      <c r="P99" s="6">
        <v>9.7050000000000001</v>
      </c>
      <c r="Q99" s="6">
        <v>9.2240000000000002</v>
      </c>
      <c r="R99" s="7">
        <v>9.2240000000000002</v>
      </c>
      <c r="S99" s="6">
        <v>9.5</v>
      </c>
      <c r="T99" s="6">
        <v>8.9809999999999999</v>
      </c>
      <c r="U99" s="6">
        <v>13.519</v>
      </c>
      <c r="V99" s="6">
        <v>28.274999999999999</v>
      </c>
      <c r="W99" s="7">
        <v>28.274999999999999</v>
      </c>
      <c r="X99" s="6">
        <v>31.472999999999999</v>
      </c>
      <c r="Y99" s="6">
        <v>32.932000000000002</v>
      </c>
      <c r="Z99" s="6">
        <v>32.393000000000001</v>
      </c>
      <c r="AA99" s="6">
        <v>36.228999999999999</v>
      </c>
      <c r="AB99" s="7">
        <v>36.228999999999999</v>
      </c>
      <c r="AC99" s="6">
        <v>28.387</v>
      </c>
      <c r="AD99" s="6">
        <v>29.491</v>
      </c>
      <c r="AE99" s="6">
        <v>23.628999999999998</v>
      </c>
      <c r="AF99" s="6">
        <v>13.273999999999999</v>
      </c>
      <c r="AG99" s="7">
        <v>13.273999999999999</v>
      </c>
      <c r="AH99" s="6">
        <v>10.769</v>
      </c>
      <c r="AI99" s="6">
        <v>10.908000000000001</v>
      </c>
      <c r="AJ99" s="6">
        <v>32.362000000000002</v>
      </c>
      <c r="AK99" s="6">
        <v>91.754000000000005</v>
      </c>
      <c r="AL99" s="7">
        <v>91.754000000000005</v>
      </c>
      <c r="AM99" s="6">
        <v>127.304</v>
      </c>
      <c r="AN99" s="6">
        <v>115.505</v>
      </c>
      <c r="AO99" s="6">
        <v>123.134</v>
      </c>
      <c r="AP99" s="6">
        <v>113.991</v>
      </c>
      <c r="AQ99" s="7">
        <v>113.991</v>
      </c>
      <c r="AR99" s="6">
        <v>110.477</v>
      </c>
      <c r="AS99" s="6">
        <v>113.14200000000001</v>
      </c>
      <c r="AT99" s="6">
        <v>109.271</v>
      </c>
      <c r="AU99" s="6">
        <v>105.399</v>
      </c>
      <c r="AV99" s="7">
        <v>105.399</v>
      </c>
      <c r="AW99" s="6">
        <v>101.396</v>
      </c>
      <c r="AX99" s="6">
        <v>103.73399999999999</v>
      </c>
      <c r="AY99" s="6">
        <v>100.04499999999999</v>
      </c>
      <c r="AZ99" s="6">
        <v>105.682</v>
      </c>
      <c r="BA99" s="7">
        <v>105.682</v>
      </c>
      <c r="BB99" s="6">
        <v>101.91500000000001</v>
      </c>
      <c r="BC99" s="6">
        <v>103.658</v>
      </c>
      <c r="BD99" s="6">
        <v>112.042</v>
      </c>
      <c r="BE99" s="6">
        <v>87.03</v>
      </c>
      <c r="BF99" s="158">
        <v>87.03</v>
      </c>
      <c r="BG99" s="6">
        <v>83.632999999999996</v>
      </c>
      <c r="BH99" s="6">
        <v>85.521999999999991</v>
      </c>
      <c r="BK99" s="210"/>
    </row>
    <row r="100" spans="1:63" ht="16" x14ac:dyDescent="0.4">
      <c r="A100" s="47" t="s">
        <v>366</v>
      </c>
      <c r="B100" s="47" t="s">
        <v>367</v>
      </c>
      <c r="C100" s="21"/>
      <c r="D100" s="48"/>
      <c r="E100" s="47"/>
      <c r="F100" s="47"/>
      <c r="G100" s="47"/>
      <c r="H100" s="49">
        <v>442.04300000000001</v>
      </c>
      <c r="I100" s="48">
        <v>444.12900000000002</v>
      </c>
      <c r="J100" s="48">
        <v>426.47399999999999</v>
      </c>
      <c r="K100" s="48">
        <v>422.24200000000002</v>
      </c>
      <c r="L100" s="48">
        <v>464.08100000000002</v>
      </c>
      <c r="M100" s="49">
        <v>464.68700000000001</v>
      </c>
      <c r="N100" s="48">
        <v>462.65199999999999</v>
      </c>
      <c r="O100" s="48">
        <v>450.67599999999999</v>
      </c>
      <c r="P100" s="48">
        <v>433.49200000000002</v>
      </c>
      <c r="Q100" s="48">
        <v>455.68</v>
      </c>
      <c r="R100" s="49">
        <v>455.68</v>
      </c>
      <c r="S100" s="48">
        <v>630.19200000000001</v>
      </c>
      <c r="T100" s="48">
        <v>418.49700000000001</v>
      </c>
      <c r="U100" s="48">
        <v>421.05700000000002</v>
      </c>
      <c r="V100" s="48">
        <v>583.31900000000007</v>
      </c>
      <c r="W100" s="49">
        <v>583.31900000000007</v>
      </c>
      <c r="X100" s="48">
        <v>735.02499999999986</v>
      </c>
      <c r="Y100" s="48">
        <v>732.11599999999987</v>
      </c>
      <c r="Z100" s="48">
        <v>785.36400000000003</v>
      </c>
      <c r="AA100" s="48">
        <v>798.077</v>
      </c>
      <c r="AB100" s="49">
        <v>798.077</v>
      </c>
      <c r="AC100" s="48">
        <v>866.61500000000001</v>
      </c>
      <c r="AD100" s="48">
        <v>899.37699999999995</v>
      </c>
      <c r="AE100" s="48">
        <v>915.39699999999993</v>
      </c>
      <c r="AF100" s="48">
        <v>714.16100000000006</v>
      </c>
      <c r="AG100" s="49">
        <v>714.16100000000006</v>
      </c>
      <c r="AH100" s="48">
        <v>698.35700000000008</v>
      </c>
      <c r="AI100" s="48">
        <v>627.255</v>
      </c>
      <c r="AJ100" s="48">
        <v>634.67700000000002</v>
      </c>
      <c r="AK100" s="48">
        <v>634.24400000000003</v>
      </c>
      <c r="AL100" s="49">
        <v>634.24400000000003</v>
      </c>
      <c r="AM100" s="48">
        <v>536.37800000000004</v>
      </c>
      <c r="AN100" s="48">
        <v>494.16399999999999</v>
      </c>
      <c r="AO100" s="48">
        <v>473.74900000000002</v>
      </c>
      <c r="AP100" s="48">
        <v>445.92500000000001</v>
      </c>
      <c r="AQ100" s="49">
        <v>445.92500000000001</v>
      </c>
      <c r="AR100" s="48">
        <v>525.053</v>
      </c>
      <c r="AS100" s="48">
        <v>639.05100000000004</v>
      </c>
      <c r="AT100" s="48">
        <v>599.59299999999996</v>
      </c>
      <c r="AU100" s="48">
        <v>582.22699999999998</v>
      </c>
      <c r="AV100" s="49">
        <v>582.22699999999998</v>
      </c>
      <c r="AW100" s="48">
        <v>576.68899999999996</v>
      </c>
      <c r="AX100" s="48">
        <v>598.12099999999998</v>
      </c>
      <c r="AY100" s="48">
        <v>631.20799999999997</v>
      </c>
      <c r="AZ100" s="48">
        <v>614.67200000000003</v>
      </c>
      <c r="BA100" s="49">
        <v>614.67200000000003</v>
      </c>
      <c r="BB100" s="48">
        <v>628.13599999999997</v>
      </c>
      <c r="BC100" s="48">
        <v>650.84</v>
      </c>
      <c r="BD100" s="48">
        <v>660.36700000000008</v>
      </c>
      <c r="BE100" s="48">
        <v>635.17199999999991</v>
      </c>
      <c r="BF100" s="163">
        <v>635.17199999999991</v>
      </c>
      <c r="BG100" s="48">
        <v>685.78</v>
      </c>
      <c r="BH100" s="48">
        <v>689.50199999999995</v>
      </c>
      <c r="BK100" s="210"/>
    </row>
    <row r="101" spans="1:63" ht="16" hidden="1" x14ac:dyDescent="0.4">
      <c r="A101" s="17" t="s">
        <v>368</v>
      </c>
      <c r="B101" s="17" t="s">
        <v>369</v>
      </c>
      <c r="C101" s="17"/>
      <c r="D101" s="26"/>
      <c r="E101" s="17"/>
      <c r="F101" s="17"/>
      <c r="G101" s="17"/>
      <c r="H101" s="27">
        <v>0</v>
      </c>
      <c r="I101" s="26">
        <v>0</v>
      </c>
      <c r="J101" s="26">
        <v>0</v>
      </c>
      <c r="K101" s="26">
        <v>0</v>
      </c>
      <c r="L101" s="26">
        <v>0</v>
      </c>
      <c r="M101" s="27">
        <v>0</v>
      </c>
      <c r="N101" s="26">
        <v>0</v>
      </c>
      <c r="O101" s="26">
        <v>0</v>
      </c>
      <c r="P101" s="26">
        <v>0</v>
      </c>
      <c r="Q101" s="26">
        <v>0</v>
      </c>
      <c r="R101" s="27">
        <v>0</v>
      </c>
      <c r="S101" s="26">
        <v>0</v>
      </c>
      <c r="T101" s="26">
        <v>0</v>
      </c>
      <c r="U101" s="26">
        <v>0</v>
      </c>
      <c r="V101" s="26">
        <v>0</v>
      </c>
      <c r="W101" s="27">
        <v>0</v>
      </c>
      <c r="X101" s="26">
        <v>0</v>
      </c>
      <c r="Y101" s="26">
        <v>0</v>
      </c>
      <c r="Z101" s="26">
        <v>0</v>
      </c>
      <c r="AA101" s="26"/>
      <c r="AB101" s="27"/>
      <c r="AC101" s="26"/>
      <c r="AD101" s="26"/>
      <c r="AE101" s="26"/>
      <c r="AF101" s="26">
        <v>710.62600000000009</v>
      </c>
      <c r="AG101" s="27">
        <v>710.62600000000009</v>
      </c>
      <c r="AH101" s="26"/>
      <c r="AI101" s="26"/>
      <c r="AJ101" s="26"/>
      <c r="AK101" s="26"/>
      <c r="AL101" s="27"/>
      <c r="AM101" s="26"/>
      <c r="AN101" s="26">
        <v>0</v>
      </c>
      <c r="AO101" s="26"/>
      <c r="AP101" s="26">
        <v>0</v>
      </c>
      <c r="AQ101" s="27">
        <v>0</v>
      </c>
      <c r="AR101" s="26">
        <v>0</v>
      </c>
      <c r="AS101" s="26"/>
      <c r="AT101" s="26">
        <v>0</v>
      </c>
      <c r="AU101" s="26"/>
      <c r="AV101" s="27"/>
      <c r="AW101" s="26">
        <v>0</v>
      </c>
      <c r="AX101" s="26">
        <v>0</v>
      </c>
      <c r="AY101" s="26">
        <v>0</v>
      </c>
      <c r="AZ101" s="26">
        <v>0</v>
      </c>
      <c r="BA101" s="27">
        <v>0</v>
      </c>
      <c r="BB101" s="26">
        <v>0</v>
      </c>
      <c r="BC101" s="26">
        <v>0</v>
      </c>
      <c r="BD101" s="26">
        <v>0</v>
      </c>
      <c r="BE101" s="26">
        <v>0</v>
      </c>
      <c r="BF101" s="181">
        <v>0</v>
      </c>
      <c r="BG101" s="26">
        <v>0</v>
      </c>
      <c r="BH101" s="26">
        <v>0</v>
      </c>
      <c r="BK101" s="210"/>
    </row>
    <row r="102" spans="1:63" ht="16" x14ac:dyDescent="0.4">
      <c r="A102" s="17" t="s">
        <v>370</v>
      </c>
      <c r="B102" s="17" t="s">
        <v>371</v>
      </c>
      <c r="C102" s="17"/>
      <c r="D102" s="70"/>
      <c r="E102" s="17"/>
      <c r="F102" s="17"/>
      <c r="G102" s="17"/>
      <c r="H102" s="123">
        <v>16.169999999999998</v>
      </c>
      <c r="I102" s="70">
        <v>20.495000000000001</v>
      </c>
      <c r="J102" s="70">
        <v>18.241</v>
      </c>
      <c r="K102" s="70">
        <v>22.312000000000001</v>
      </c>
      <c r="L102" s="70">
        <v>21.782000000000004</v>
      </c>
      <c r="M102" s="123">
        <v>21.782000000000004</v>
      </c>
      <c r="N102" s="70">
        <v>26.314999999999998</v>
      </c>
      <c r="O102" s="70">
        <v>22.721</v>
      </c>
      <c r="P102" s="70">
        <v>46.284999999999997</v>
      </c>
      <c r="Q102" s="70">
        <v>15.187999999999999</v>
      </c>
      <c r="R102" s="123">
        <v>15.187999999999999</v>
      </c>
      <c r="S102" s="70">
        <v>20.079000000000001</v>
      </c>
      <c r="T102" s="70">
        <v>13.805999999999999</v>
      </c>
      <c r="U102" s="70">
        <v>14.568999999999999</v>
      </c>
      <c r="V102" s="70">
        <v>157.58499999999998</v>
      </c>
      <c r="W102" s="123">
        <v>157.58499999999998</v>
      </c>
      <c r="X102" s="70">
        <v>30.338999999999999</v>
      </c>
      <c r="Y102" s="70">
        <v>31.732000000000003</v>
      </c>
      <c r="Z102" s="70">
        <v>34.800000000000004</v>
      </c>
      <c r="AA102" s="70">
        <v>34.322999999999993</v>
      </c>
      <c r="AB102" s="123">
        <v>34.322999999999993</v>
      </c>
      <c r="AC102" s="70">
        <v>35.75</v>
      </c>
      <c r="AD102" s="70">
        <v>70.363</v>
      </c>
      <c r="AE102" s="70">
        <v>85.161000000000001</v>
      </c>
      <c r="AF102" s="70">
        <v>85.468999999999994</v>
      </c>
      <c r="AG102" s="123">
        <v>85.468999999999994</v>
      </c>
      <c r="AH102" s="70">
        <v>81.094000000000008</v>
      </c>
      <c r="AI102" s="70">
        <v>52.109000000000002</v>
      </c>
      <c r="AJ102" s="70">
        <v>46.71</v>
      </c>
      <c r="AK102" s="70">
        <v>45.98</v>
      </c>
      <c r="AL102" s="123">
        <v>45.98</v>
      </c>
      <c r="AM102" s="70">
        <v>157.23399999999998</v>
      </c>
      <c r="AN102" s="70">
        <v>129.506</v>
      </c>
      <c r="AO102" s="70">
        <v>128.744</v>
      </c>
      <c r="AP102" s="70">
        <v>111.09299999999999</v>
      </c>
      <c r="AQ102" s="123">
        <v>111.09299999999999</v>
      </c>
      <c r="AR102" s="70">
        <v>109.065</v>
      </c>
      <c r="AS102" s="70">
        <v>108.468</v>
      </c>
      <c r="AT102" s="70">
        <v>122.86499999999999</v>
      </c>
      <c r="AU102" s="70">
        <v>184.95400000000001</v>
      </c>
      <c r="AV102" s="123">
        <v>184.95400000000001</v>
      </c>
      <c r="AW102" s="70">
        <v>144.44999999999999</v>
      </c>
      <c r="AX102" s="70">
        <v>131.74200000000002</v>
      </c>
      <c r="AY102" s="70">
        <v>142.98400000000001</v>
      </c>
      <c r="AZ102" s="70">
        <v>162.208</v>
      </c>
      <c r="BA102" s="123">
        <v>162.208</v>
      </c>
      <c r="BB102" s="70">
        <v>182.96299999999999</v>
      </c>
      <c r="BC102" s="70">
        <v>160.001</v>
      </c>
      <c r="BD102" s="70">
        <v>144.25</v>
      </c>
      <c r="BE102" s="70">
        <v>138.904</v>
      </c>
      <c r="BF102" s="169">
        <v>138.904</v>
      </c>
      <c r="BG102" s="70">
        <v>137.86600000000001</v>
      </c>
      <c r="BH102" s="70">
        <v>137.85599999999999</v>
      </c>
      <c r="BK102" s="210"/>
    </row>
    <row r="103" spans="1:63" ht="16" x14ac:dyDescent="0.4">
      <c r="A103" s="17" t="s">
        <v>341</v>
      </c>
      <c r="B103" s="17" t="s">
        <v>372</v>
      </c>
      <c r="C103" s="17"/>
      <c r="D103" s="70"/>
      <c r="E103" s="17"/>
      <c r="F103" s="17"/>
      <c r="G103" s="17"/>
      <c r="H103" s="123">
        <v>5.923</v>
      </c>
      <c r="I103" s="70">
        <v>2.9609999999999999</v>
      </c>
      <c r="J103" s="70">
        <v>2.8889999999999998</v>
      </c>
      <c r="K103" s="70">
        <v>3.4969999999999999</v>
      </c>
      <c r="L103" s="70">
        <v>14.741</v>
      </c>
      <c r="M103" s="123">
        <v>14.741</v>
      </c>
      <c r="N103" s="70">
        <v>10.534000000000001</v>
      </c>
      <c r="O103" s="70">
        <v>2.8919999999999999</v>
      </c>
      <c r="P103" s="70">
        <v>2.6469999999999998</v>
      </c>
      <c r="Q103" s="70">
        <v>2.1930000000000001</v>
      </c>
      <c r="R103" s="123">
        <v>2.1930000000000001</v>
      </c>
      <c r="S103" s="70">
        <v>2.2170000000000001</v>
      </c>
      <c r="T103" s="70">
        <v>4.9530000000000003</v>
      </c>
      <c r="U103" s="70">
        <v>11.471</v>
      </c>
      <c r="V103" s="70">
        <v>18.975999999999999</v>
      </c>
      <c r="W103" s="123">
        <v>18.975999999999999</v>
      </c>
      <c r="X103" s="70">
        <v>22.640999999999998</v>
      </c>
      <c r="Y103" s="70">
        <v>13.773</v>
      </c>
      <c r="Z103" s="70">
        <v>23.192</v>
      </c>
      <c r="AA103" s="70">
        <v>9.9469999999999992</v>
      </c>
      <c r="AB103" s="123">
        <v>9.9469999999999992</v>
      </c>
      <c r="AC103" s="70">
        <v>18.236999999999998</v>
      </c>
      <c r="AD103" s="70">
        <v>8.1349999999999998</v>
      </c>
      <c r="AE103" s="70">
        <v>1.839</v>
      </c>
      <c r="AF103" s="70">
        <v>8.0969999999999995</v>
      </c>
      <c r="AG103" s="123">
        <v>8.0969999999999995</v>
      </c>
      <c r="AH103" s="70">
        <v>38.850999999999999</v>
      </c>
      <c r="AI103" s="70">
        <v>50.354999999999997</v>
      </c>
      <c r="AJ103" s="70">
        <v>46.154000000000003</v>
      </c>
      <c r="AK103" s="70">
        <v>9.5920000000000005</v>
      </c>
      <c r="AL103" s="123">
        <v>9.5920000000000005</v>
      </c>
      <c r="AM103" s="70">
        <v>7.774</v>
      </c>
      <c r="AN103" s="70">
        <v>8.6780000000000008</v>
      </c>
      <c r="AO103" s="70">
        <v>9.6630000000000003</v>
      </c>
      <c r="AP103" s="70">
        <v>0.35799999999999998</v>
      </c>
      <c r="AQ103" s="123">
        <v>0.35799999999999998</v>
      </c>
      <c r="AR103" s="70">
        <v>3.0000000000000001E-3</v>
      </c>
      <c r="AS103" s="70">
        <v>3.0000000000000001E-3</v>
      </c>
      <c r="AT103" s="70">
        <v>0.86199999999999999</v>
      </c>
      <c r="AU103" s="70">
        <v>0.59299999999999997</v>
      </c>
      <c r="AV103" s="123">
        <v>0.59299999999999997</v>
      </c>
      <c r="AW103" s="70">
        <v>4.1000000000000002E-2</v>
      </c>
      <c r="AX103" s="70">
        <v>0.77</v>
      </c>
      <c r="AY103" s="70">
        <v>0.47899999999999998</v>
      </c>
      <c r="AZ103" s="70">
        <v>7.9740000000000002</v>
      </c>
      <c r="BA103" s="123">
        <v>7.9740000000000002</v>
      </c>
      <c r="BB103" s="70">
        <v>-0.54600000000000004</v>
      </c>
      <c r="BC103" s="70">
        <v>2.7</v>
      </c>
      <c r="BD103" s="70">
        <v>1.994</v>
      </c>
      <c r="BE103" s="70">
        <v>1.804</v>
      </c>
      <c r="BF103" s="169">
        <v>1.804</v>
      </c>
      <c r="BG103" s="70">
        <v>1.87</v>
      </c>
      <c r="BH103" s="70">
        <v>6.7119999999999997</v>
      </c>
      <c r="BK103" s="210"/>
    </row>
    <row r="104" spans="1:63" ht="16" x14ac:dyDescent="0.4">
      <c r="A104" s="17" t="s">
        <v>373</v>
      </c>
      <c r="B104" s="17" t="s">
        <v>374</v>
      </c>
      <c r="C104" s="17"/>
      <c r="D104" s="70"/>
      <c r="E104" s="17"/>
      <c r="F104" s="17"/>
      <c r="G104" s="17"/>
      <c r="H104" s="123">
        <v>169.08699999999999</v>
      </c>
      <c r="I104" s="70">
        <v>192.46600000000001</v>
      </c>
      <c r="J104" s="70">
        <v>177.21699999999998</v>
      </c>
      <c r="K104" s="70">
        <v>165.727</v>
      </c>
      <c r="L104" s="70">
        <v>162.18700000000001</v>
      </c>
      <c r="M104" s="123">
        <v>162.18700000000001</v>
      </c>
      <c r="N104" s="70">
        <v>165.953</v>
      </c>
      <c r="O104" s="70">
        <v>159.464</v>
      </c>
      <c r="P104" s="70">
        <v>165.196</v>
      </c>
      <c r="Q104" s="70">
        <v>180.28899999999999</v>
      </c>
      <c r="R104" s="123">
        <v>180.28899999999999</v>
      </c>
      <c r="S104" s="70">
        <v>205.12799999999999</v>
      </c>
      <c r="T104" s="70">
        <v>232.81899999999999</v>
      </c>
      <c r="U104" s="70">
        <v>204.334</v>
      </c>
      <c r="V104" s="70">
        <v>242.8</v>
      </c>
      <c r="W104" s="123">
        <v>242.8</v>
      </c>
      <c r="X104" s="70">
        <v>226.93</v>
      </c>
      <c r="Y104" s="70">
        <v>250.869</v>
      </c>
      <c r="Z104" s="70">
        <v>238.488</v>
      </c>
      <c r="AA104" s="70">
        <v>234.69</v>
      </c>
      <c r="AB104" s="123">
        <v>234.69</v>
      </c>
      <c r="AC104" s="70">
        <v>240.05600000000001</v>
      </c>
      <c r="AD104" s="70">
        <v>289.07</v>
      </c>
      <c r="AE104" s="70">
        <v>290.37400000000002</v>
      </c>
      <c r="AF104" s="70">
        <v>279.34799999999996</v>
      </c>
      <c r="AG104" s="123">
        <v>279.34799999999996</v>
      </c>
      <c r="AH104" s="70">
        <v>244.691</v>
      </c>
      <c r="AI104" s="70">
        <v>250.1</v>
      </c>
      <c r="AJ104" s="70">
        <v>237.791</v>
      </c>
      <c r="AK104" s="70">
        <v>277.47399999999999</v>
      </c>
      <c r="AL104" s="123">
        <v>277.47399999999999</v>
      </c>
      <c r="AM104" s="70">
        <v>260.19900000000001</v>
      </c>
      <c r="AN104" s="70">
        <v>300.64251900000005</v>
      </c>
      <c r="AO104" s="70">
        <v>347.74299999999999</v>
      </c>
      <c r="AP104" s="70">
        <v>361.59800000000001</v>
      </c>
      <c r="AQ104" s="123">
        <v>361.59800000000001</v>
      </c>
      <c r="AR104" s="70">
        <v>305.97199999999998</v>
      </c>
      <c r="AS104" s="70">
        <v>291.00400000000002</v>
      </c>
      <c r="AT104" s="70">
        <v>261.21199999999999</v>
      </c>
      <c r="AU104" s="70">
        <v>240.55600000000001</v>
      </c>
      <c r="AV104" s="123">
        <v>240.55600000000001</v>
      </c>
      <c r="AW104" s="70">
        <v>228.10499999999999</v>
      </c>
      <c r="AX104" s="70">
        <v>237.37200000000001</v>
      </c>
      <c r="AY104" s="70">
        <v>237.72300000000001</v>
      </c>
      <c r="AZ104" s="70">
        <v>240.55600000000001</v>
      </c>
      <c r="BA104" s="123">
        <v>240.55600000000001</v>
      </c>
      <c r="BB104" s="70">
        <v>241.059</v>
      </c>
      <c r="BC104" s="70">
        <v>258.37799999999999</v>
      </c>
      <c r="BD104" s="70">
        <v>249.465</v>
      </c>
      <c r="BE104" s="70">
        <v>239.71700000000001</v>
      </c>
      <c r="BF104" s="169">
        <v>239.71700000000001</v>
      </c>
      <c r="BG104" s="70">
        <v>222.43600000000001</v>
      </c>
      <c r="BH104" s="70">
        <v>214.267</v>
      </c>
      <c r="BK104" s="210"/>
    </row>
    <row r="105" spans="1:63" ht="16" x14ac:dyDescent="0.4">
      <c r="A105" s="17" t="s">
        <v>375</v>
      </c>
      <c r="B105" s="17" t="s">
        <v>376</v>
      </c>
      <c r="C105" s="17"/>
      <c r="D105" s="70"/>
      <c r="E105" s="17"/>
      <c r="F105" s="17"/>
      <c r="G105" s="17"/>
      <c r="H105" s="123"/>
      <c r="I105" s="70"/>
      <c r="J105" s="70"/>
      <c r="K105" s="70"/>
      <c r="L105" s="70"/>
      <c r="M105" s="123"/>
      <c r="N105" s="70"/>
      <c r="O105" s="70"/>
      <c r="P105" s="70"/>
      <c r="Q105" s="70"/>
      <c r="R105" s="123"/>
      <c r="S105" s="70"/>
      <c r="T105" s="70"/>
      <c r="U105" s="70"/>
      <c r="V105" s="70"/>
      <c r="W105" s="123"/>
      <c r="X105" s="70"/>
      <c r="Y105" s="70"/>
      <c r="Z105" s="70"/>
      <c r="AA105" s="70"/>
      <c r="AB105" s="123"/>
      <c r="AC105" s="70"/>
      <c r="AD105" s="70"/>
      <c r="AE105" s="70"/>
      <c r="AF105" s="70"/>
      <c r="AG105" s="123"/>
      <c r="AH105" s="70"/>
      <c r="AI105" s="70">
        <v>0.60799999999999998</v>
      </c>
      <c r="AJ105" s="70">
        <v>0.92600000000000005</v>
      </c>
      <c r="AK105" s="70">
        <v>1.2609999999999999</v>
      </c>
      <c r="AL105" s="123">
        <v>1.2609999999999999</v>
      </c>
      <c r="AM105" s="70">
        <v>0.28999999999999998</v>
      </c>
      <c r="AN105" s="70">
        <v>0.60799999999999998</v>
      </c>
      <c r="AO105" s="70">
        <v>0.2</v>
      </c>
      <c r="AP105" s="70">
        <v>0.36299999999999999</v>
      </c>
      <c r="AQ105" s="123">
        <v>0.36299999999999999</v>
      </c>
      <c r="AR105" s="70">
        <v>9.9000000000000005E-2</v>
      </c>
      <c r="AS105" s="70">
        <v>0.254</v>
      </c>
      <c r="AT105" s="70">
        <v>0.154</v>
      </c>
      <c r="AU105" s="70">
        <v>0.24399999999999999</v>
      </c>
      <c r="AV105" s="123">
        <v>0.24399999999999999</v>
      </c>
      <c r="AW105" s="70">
        <v>0.32400000000000001</v>
      </c>
      <c r="AX105" s="70">
        <v>0.55500000000000005</v>
      </c>
      <c r="AY105" s="70">
        <v>0.91500000000000004</v>
      </c>
      <c r="AZ105" s="70">
        <v>0.876</v>
      </c>
      <c r="BA105" s="123">
        <v>0.876</v>
      </c>
      <c r="BB105" s="70">
        <v>1.2589999999999999</v>
      </c>
      <c r="BC105" s="70">
        <v>1.6779999999999999</v>
      </c>
      <c r="BD105" s="70">
        <v>2.081</v>
      </c>
      <c r="BE105" s="70">
        <v>2.5070000000000001</v>
      </c>
      <c r="BF105" s="169">
        <v>2.5070000000000001</v>
      </c>
      <c r="BG105" s="70">
        <v>0</v>
      </c>
      <c r="BH105" s="70">
        <v>0</v>
      </c>
      <c r="BK105" s="210"/>
    </row>
    <row r="106" spans="1:63" ht="16" x14ac:dyDescent="0.4">
      <c r="A106" s="17" t="s">
        <v>338</v>
      </c>
      <c r="B106" s="17" t="s">
        <v>108</v>
      </c>
      <c r="C106" s="17"/>
      <c r="D106" s="70"/>
      <c r="E106" s="17"/>
      <c r="F106" s="17"/>
      <c r="G106" s="17"/>
      <c r="H106" s="123">
        <v>5.7000000000000002E-2</v>
      </c>
      <c r="I106" s="70">
        <v>3.7280000000000002</v>
      </c>
      <c r="J106" s="70">
        <v>0.874</v>
      </c>
      <c r="K106" s="70">
        <v>3.3420000000000001</v>
      </c>
      <c r="L106" s="70">
        <v>0.11700000000000001</v>
      </c>
      <c r="M106" s="123">
        <v>0.11700000000000001</v>
      </c>
      <c r="N106" s="70">
        <v>3.7970000000000002</v>
      </c>
      <c r="O106" s="70">
        <v>7.0810000000000004</v>
      </c>
      <c r="P106" s="70">
        <v>13.813000000000001</v>
      </c>
      <c r="Q106" s="70">
        <v>0.437</v>
      </c>
      <c r="R106" s="123">
        <v>0.437</v>
      </c>
      <c r="S106" s="70">
        <v>7.6840000000000002</v>
      </c>
      <c r="T106" s="70">
        <v>6.5170000000000003</v>
      </c>
      <c r="U106" s="70">
        <v>16.776250000000001</v>
      </c>
      <c r="V106" s="70">
        <v>1.8</v>
      </c>
      <c r="W106" s="123">
        <v>1.8</v>
      </c>
      <c r="X106" s="70">
        <v>6.6520000000000001</v>
      </c>
      <c r="Y106" s="70">
        <v>3.5437500000000002</v>
      </c>
      <c r="Z106" s="70">
        <v>4.0904999999999996</v>
      </c>
      <c r="AA106" s="70">
        <v>0.438</v>
      </c>
      <c r="AB106" s="123">
        <v>0.438</v>
      </c>
      <c r="AC106" s="70">
        <v>1.6E-2</v>
      </c>
      <c r="AD106" s="70">
        <v>0.625</v>
      </c>
      <c r="AE106" s="70">
        <v>0.871</v>
      </c>
      <c r="AF106" s="70">
        <v>5.6349999999999998</v>
      </c>
      <c r="AG106" s="123">
        <v>5.6349999999999998</v>
      </c>
      <c r="AH106" s="70">
        <v>5.9420000000000002</v>
      </c>
      <c r="AI106" s="70">
        <v>7.2720000000000002</v>
      </c>
      <c r="AJ106" s="70">
        <v>0.81100000000000005</v>
      </c>
      <c r="AK106" s="70">
        <v>7.8E-2</v>
      </c>
      <c r="AL106" s="123">
        <v>7.8E-2</v>
      </c>
      <c r="AM106" s="70">
        <v>2.6880000000000002</v>
      </c>
      <c r="AN106" s="70">
        <v>11.327</v>
      </c>
      <c r="AO106" s="70">
        <v>14.393000000000001</v>
      </c>
      <c r="AP106" s="70">
        <v>1.2999999999999999E-2</v>
      </c>
      <c r="AQ106" s="123">
        <v>1.2999999999999999E-2</v>
      </c>
      <c r="AR106" s="70">
        <v>8.6259999999999994</v>
      </c>
      <c r="AS106" s="70">
        <v>0.94199999999999995</v>
      </c>
      <c r="AT106" s="70">
        <v>0.87</v>
      </c>
      <c r="AU106" s="70">
        <v>4.3999999999999997E-2</v>
      </c>
      <c r="AV106" s="123">
        <v>4.3999999999999997E-2</v>
      </c>
      <c r="AW106" s="70">
        <v>0.38300000000000001</v>
      </c>
      <c r="AX106" s="70">
        <v>3.22</v>
      </c>
      <c r="AY106" s="70">
        <v>4.5010000000000003</v>
      </c>
      <c r="AZ106" s="70">
        <v>2.5999999999999999E-2</v>
      </c>
      <c r="BA106" s="123">
        <v>2.5999999999999999E-2</v>
      </c>
      <c r="BB106" s="70">
        <v>2.968</v>
      </c>
      <c r="BC106" s="70">
        <v>1.256</v>
      </c>
      <c r="BD106" s="70">
        <v>6.6000000000000003E-2</v>
      </c>
      <c r="BE106" s="70">
        <v>5.2999999999999999E-2</v>
      </c>
      <c r="BF106" s="169">
        <v>5.2999999999999999E-2</v>
      </c>
      <c r="BG106" s="70">
        <v>5.2999999999999999E-2</v>
      </c>
      <c r="BH106" s="70">
        <v>2.4E-2</v>
      </c>
      <c r="BK106" s="210"/>
    </row>
    <row r="107" spans="1:63" ht="16" x14ac:dyDescent="0.4">
      <c r="A107" s="17" t="s">
        <v>362</v>
      </c>
      <c r="B107" s="17" t="s">
        <v>377</v>
      </c>
      <c r="C107" s="17"/>
      <c r="D107" s="138"/>
      <c r="E107" s="17"/>
      <c r="F107" s="17"/>
      <c r="G107" s="17"/>
      <c r="H107" s="139">
        <v>6.3</v>
      </c>
      <c r="I107" s="138">
        <v>8.5050000000000008</v>
      </c>
      <c r="J107" s="138">
        <v>7.3410000000000002</v>
      </c>
      <c r="K107" s="138">
        <v>7.0749999999999993</v>
      </c>
      <c r="L107" s="138">
        <v>7.2610000000000001</v>
      </c>
      <c r="M107" s="139">
        <v>7.2610000000000001</v>
      </c>
      <c r="N107" s="138">
        <v>7.2640000000000002</v>
      </c>
      <c r="O107" s="138">
        <v>6.55</v>
      </c>
      <c r="P107" s="138">
        <v>7.7720000000000002</v>
      </c>
      <c r="Q107" s="138">
        <v>7.0860000000000003</v>
      </c>
      <c r="R107" s="139">
        <v>7.0860000000000003</v>
      </c>
      <c r="S107" s="138">
        <v>9.7159999999999993</v>
      </c>
      <c r="T107" s="138">
        <v>9.9890000000000008</v>
      </c>
      <c r="U107" s="138">
        <v>14.587</v>
      </c>
      <c r="V107" s="138">
        <v>22.4</v>
      </c>
      <c r="W107" s="139">
        <v>22.4</v>
      </c>
      <c r="X107" s="138">
        <v>24.559000000000001</v>
      </c>
      <c r="Y107" s="138">
        <v>23.716000000000001</v>
      </c>
      <c r="Z107" s="138">
        <v>23.72</v>
      </c>
      <c r="AA107" s="138">
        <v>25.707999999999998</v>
      </c>
      <c r="AB107" s="139">
        <v>25.707999999999998</v>
      </c>
      <c r="AC107" s="138">
        <v>28.12</v>
      </c>
      <c r="AD107" s="138">
        <v>25.396000000000001</v>
      </c>
      <c r="AE107" s="138">
        <v>27.594000000000001</v>
      </c>
      <c r="AF107" s="138">
        <v>29.353999999999999</v>
      </c>
      <c r="AG107" s="139">
        <v>29.353999999999999</v>
      </c>
      <c r="AH107" s="138">
        <v>32.046999999999997</v>
      </c>
      <c r="AI107" s="138">
        <v>14.476000000000001</v>
      </c>
      <c r="AJ107" s="138">
        <v>16.952999999999999</v>
      </c>
      <c r="AK107" s="138">
        <v>18.821999999999999</v>
      </c>
      <c r="AL107" s="139">
        <v>18.821999999999999</v>
      </c>
      <c r="AM107" s="138">
        <v>22.262</v>
      </c>
      <c r="AN107" s="138">
        <v>17.067</v>
      </c>
      <c r="AO107" s="138">
        <v>18.869</v>
      </c>
      <c r="AP107" s="138">
        <v>42.8</v>
      </c>
      <c r="AQ107" s="139">
        <v>42.8</v>
      </c>
      <c r="AR107" s="138">
        <v>46.65</v>
      </c>
      <c r="AS107" s="138">
        <v>38.691000000000003</v>
      </c>
      <c r="AT107" s="138">
        <v>41.411000000000001</v>
      </c>
      <c r="AU107" s="138">
        <v>44.383000000000003</v>
      </c>
      <c r="AV107" s="139">
        <v>44.383000000000003</v>
      </c>
      <c r="AW107" s="138">
        <v>42.314999999999998</v>
      </c>
      <c r="AX107" s="138">
        <v>34.247999999999998</v>
      </c>
      <c r="AY107" s="138">
        <v>36.155000000000001</v>
      </c>
      <c r="AZ107" s="138">
        <v>33.484999999999999</v>
      </c>
      <c r="BA107" s="139">
        <v>33.484999999999999</v>
      </c>
      <c r="BB107" s="138">
        <v>37.204999999999998</v>
      </c>
      <c r="BC107" s="138">
        <v>40.633000000000003</v>
      </c>
      <c r="BD107" s="138">
        <v>31.216999999999999</v>
      </c>
      <c r="BE107" s="138">
        <v>52.05</v>
      </c>
      <c r="BF107" s="182">
        <v>52.05</v>
      </c>
      <c r="BG107" s="138">
        <v>52.85</v>
      </c>
      <c r="BH107" s="138">
        <v>53.341999999999999</v>
      </c>
      <c r="BK107" s="210"/>
    </row>
    <row r="108" spans="1:63" ht="16.5" thickBot="1" x14ac:dyDescent="0.45">
      <c r="A108" s="58" t="s">
        <v>378</v>
      </c>
      <c r="B108" s="58" t="s">
        <v>379</v>
      </c>
      <c r="C108" s="21"/>
      <c r="D108" s="59"/>
      <c r="E108" s="58"/>
      <c r="F108" s="58"/>
      <c r="G108" s="58"/>
      <c r="H108" s="111">
        <v>197.53699999999998</v>
      </c>
      <c r="I108" s="59">
        <v>228.155</v>
      </c>
      <c r="J108" s="59">
        <v>206.56199999999998</v>
      </c>
      <c r="K108" s="59">
        <v>201.953</v>
      </c>
      <c r="L108" s="59">
        <v>206.08799999999999</v>
      </c>
      <c r="M108" s="111">
        <v>206.08799999999999</v>
      </c>
      <c r="N108" s="59">
        <v>213.863</v>
      </c>
      <c r="O108" s="59">
        <v>198.708</v>
      </c>
      <c r="P108" s="59">
        <v>235.71299999999999</v>
      </c>
      <c r="Q108" s="59">
        <v>205.18199999999999</v>
      </c>
      <c r="R108" s="111">
        <v>205.18199999999999</v>
      </c>
      <c r="S108" s="59">
        <v>244.82400000000001</v>
      </c>
      <c r="T108" s="59">
        <v>268.084</v>
      </c>
      <c r="U108" s="59">
        <v>261.73725000000002</v>
      </c>
      <c r="V108" s="59">
        <v>443.56099999999998</v>
      </c>
      <c r="W108" s="111">
        <v>443.56099999999998</v>
      </c>
      <c r="X108" s="59">
        <v>311.12100000000004</v>
      </c>
      <c r="Y108" s="59">
        <v>323.63375000000002</v>
      </c>
      <c r="Z108" s="59">
        <v>324.29050000000007</v>
      </c>
      <c r="AA108" s="59">
        <v>305.10599999999999</v>
      </c>
      <c r="AB108" s="111">
        <v>305.10599999999999</v>
      </c>
      <c r="AC108" s="59">
        <v>322.17900000000003</v>
      </c>
      <c r="AD108" s="59">
        <v>393.589</v>
      </c>
      <c r="AE108" s="59">
        <v>405.839</v>
      </c>
      <c r="AF108" s="59">
        <v>407.90299999999991</v>
      </c>
      <c r="AG108" s="111">
        <v>407.90299999999991</v>
      </c>
      <c r="AH108" s="59">
        <v>402.91500000000008</v>
      </c>
      <c r="AI108" s="59">
        <v>374.91999999999996</v>
      </c>
      <c r="AJ108" s="59">
        <v>349.34499999999991</v>
      </c>
      <c r="AK108" s="59">
        <v>353.20699999999999</v>
      </c>
      <c r="AL108" s="111">
        <v>353.20699999999999</v>
      </c>
      <c r="AM108" s="59">
        <v>450.447</v>
      </c>
      <c r="AN108" s="59">
        <v>467.82851900000009</v>
      </c>
      <c r="AO108" s="59">
        <v>519.61199999999997</v>
      </c>
      <c r="AP108" s="59">
        <v>516.22499999999991</v>
      </c>
      <c r="AQ108" s="111">
        <v>516.22499999999991</v>
      </c>
      <c r="AR108" s="59">
        <v>470.41499999999991</v>
      </c>
      <c r="AS108" s="59">
        <v>439.36200000000008</v>
      </c>
      <c r="AT108" s="59">
        <v>427.37399999999997</v>
      </c>
      <c r="AU108" s="59">
        <v>470.774</v>
      </c>
      <c r="AV108" s="111">
        <v>470.774</v>
      </c>
      <c r="AW108" s="59">
        <v>415.61799999999999</v>
      </c>
      <c r="AX108" s="59">
        <v>407.90700000000004</v>
      </c>
      <c r="AY108" s="59">
        <v>422.75700000000006</v>
      </c>
      <c r="AZ108" s="59">
        <v>445.125</v>
      </c>
      <c r="BA108" s="111">
        <v>445.125</v>
      </c>
      <c r="BB108" s="59">
        <v>464.90800000000002</v>
      </c>
      <c r="BC108" s="59">
        <v>464.6459999999999</v>
      </c>
      <c r="BD108" s="59">
        <v>429.07299999999998</v>
      </c>
      <c r="BE108" s="59">
        <v>435.03500000000003</v>
      </c>
      <c r="BF108" s="167">
        <v>435.03500000000003</v>
      </c>
      <c r="BG108" s="59">
        <v>415.07500000000005</v>
      </c>
      <c r="BH108" s="59">
        <v>412.20099999999996</v>
      </c>
      <c r="BK108" s="210"/>
    </row>
    <row r="109" spans="1:63" ht="16.5" thickBot="1" x14ac:dyDescent="0.45">
      <c r="A109" s="145" t="s">
        <v>380</v>
      </c>
      <c r="B109" s="145" t="s">
        <v>381</v>
      </c>
      <c r="C109" s="21"/>
      <c r="D109" s="81"/>
      <c r="E109" s="145"/>
      <c r="F109" s="145"/>
      <c r="G109" s="145"/>
      <c r="H109" s="146">
        <v>1207.798</v>
      </c>
      <c r="I109" s="81">
        <v>1228.434</v>
      </c>
      <c r="J109" s="81">
        <v>1184.0459999999998</v>
      </c>
      <c r="K109" s="81">
        <v>1179.585</v>
      </c>
      <c r="L109" s="81">
        <v>1231.7339999999999</v>
      </c>
      <c r="M109" s="146">
        <v>1232.3399999999999</v>
      </c>
      <c r="N109" s="81">
        <v>1247.21</v>
      </c>
      <c r="O109" s="81">
        <v>1250.5940000000001</v>
      </c>
      <c r="P109" s="81">
        <v>1288.7919999999999</v>
      </c>
      <c r="Q109" s="81">
        <v>1303.0889999999999</v>
      </c>
      <c r="R109" s="146">
        <v>1303.0889999999999</v>
      </c>
      <c r="S109" s="81">
        <v>1543.86</v>
      </c>
      <c r="T109" s="81">
        <v>1355.954</v>
      </c>
      <c r="U109" s="81">
        <v>1365.9312500000001</v>
      </c>
      <c r="V109" s="81">
        <v>1724.201</v>
      </c>
      <c r="W109" s="146">
        <v>1724.201</v>
      </c>
      <c r="X109" s="81">
        <v>1743.212</v>
      </c>
      <c r="Y109" s="81">
        <v>1757.3909999999998</v>
      </c>
      <c r="Z109" s="81">
        <v>1788.5520000000001</v>
      </c>
      <c r="AA109" s="81">
        <v>1778.116</v>
      </c>
      <c r="AB109" s="146">
        <v>1778.116</v>
      </c>
      <c r="AC109" s="81">
        <v>1841.739</v>
      </c>
      <c r="AD109" s="81">
        <v>1939.8719999999998</v>
      </c>
      <c r="AE109" s="81">
        <v>1955.5159999999998</v>
      </c>
      <c r="AF109" s="81">
        <v>1972.1929999999998</v>
      </c>
      <c r="AG109" s="146">
        <v>1972.1929999999998</v>
      </c>
      <c r="AH109" s="81">
        <v>1913.4749999999999</v>
      </c>
      <c r="AI109" s="81">
        <v>1608.8650000000002</v>
      </c>
      <c r="AJ109" s="81">
        <v>1591.7919999999999</v>
      </c>
      <c r="AK109" s="81">
        <v>1612.9699999999998</v>
      </c>
      <c r="AL109" s="146">
        <v>1612.9699999999998</v>
      </c>
      <c r="AM109" s="81">
        <v>1631.614</v>
      </c>
      <c r="AN109" s="81">
        <v>1623.8650000000002</v>
      </c>
      <c r="AO109" s="81">
        <v>1644.5529999999999</v>
      </c>
      <c r="AP109" s="81">
        <v>1780.308</v>
      </c>
      <c r="AQ109" s="146">
        <v>1780.308</v>
      </c>
      <c r="AR109" s="81">
        <v>1792.6399999999999</v>
      </c>
      <c r="AS109" s="81">
        <v>1755.0260000000003</v>
      </c>
      <c r="AT109" s="81">
        <v>1676.1870000000001</v>
      </c>
      <c r="AU109" s="81">
        <v>1701.3649999999998</v>
      </c>
      <c r="AV109" s="146">
        <v>1701.3649999999998</v>
      </c>
      <c r="AW109" s="81">
        <v>1644.5530000000001</v>
      </c>
      <c r="AX109" s="81">
        <v>1678.643</v>
      </c>
      <c r="AY109" s="81">
        <v>1704.683</v>
      </c>
      <c r="AZ109" s="81">
        <v>1682.4459999999999</v>
      </c>
      <c r="BA109" s="146">
        <v>1682.4459999999999</v>
      </c>
      <c r="BB109" s="81">
        <v>1723.9919999999997</v>
      </c>
      <c r="BC109" s="81">
        <v>1737.0650074100001</v>
      </c>
      <c r="BD109" s="81">
        <v>1692.241</v>
      </c>
      <c r="BE109" s="81">
        <v>1636.8720000000001</v>
      </c>
      <c r="BF109" s="176">
        <v>1636.8720000000001</v>
      </c>
      <c r="BG109" s="81">
        <v>1646.11</v>
      </c>
      <c r="BH109" s="81">
        <v>1640.6569999999999</v>
      </c>
      <c r="BK109" s="210"/>
    </row>
    <row r="110" spans="1:63" ht="15" thickBot="1" x14ac:dyDescent="0.4">
      <c r="BF110" s="135"/>
      <c r="BK110" s="210"/>
    </row>
    <row r="111" spans="1:63" ht="16.5" thickBot="1" x14ac:dyDescent="0.45">
      <c r="A111" s="1" t="s">
        <v>163</v>
      </c>
      <c r="B111" s="92" t="s">
        <v>164</v>
      </c>
      <c r="C111" s="21"/>
      <c r="D111" s="81"/>
      <c r="E111" s="81"/>
      <c r="F111" s="81"/>
      <c r="G111" s="81"/>
      <c r="H111" s="146">
        <f t="shared" ref="H111:BB111" si="30">H95+H102-H86-H87-H78</f>
        <v>241.2</v>
      </c>
      <c r="I111" s="81">
        <f t="shared" si="30"/>
        <v>241.87100000000001</v>
      </c>
      <c r="J111" s="81">
        <f t="shared" si="30"/>
        <v>259.41100000000006</v>
      </c>
      <c r="K111" s="81">
        <f t="shared" si="30"/>
        <v>233.53999999999996</v>
      </c>
      <c r="L111" s="81">
        <f t="shared" si="30"/>
        <v>218.292</v>
      </c>
      <c r="M111" s="146">
        <f t="shared" si="30"/>
        <v>218.292</v>
      </c>
      <c r="N111" s="81">
        <f t="shared" si="30"/>
        <v>207.98599999999999</v>
      </c>
      <c r="O111" s="81">
        <f t="shared" si="30"/>
        <v>188.03000000000003</v>
      </c>
      <c r="P111" s="81">
        <f t="shared" si="30"/>
        <v>183.46699999999998</v>
      </c>
      <c r="Q111" s="81">
        <f t="shared" si="30"/>
        <v>153.13199999999995</v>
      </c>
      <c r="R111" s="146">
        <f t="shared" si="30"/>
        <v>153.13199999999995</v>
      </c>
      <c r="S111" s="81">
        <f t="shared" si="30"/>
        <v>125.59099999999984</v>
      </c>
      <c r="T111" s="81">
        <f t="shared" si="30"/>
        <v>152.32499999999996</v>
      </c>
      <c r="U111" s="81">
        <f t="shared" si="30"/>
        <v>156.75800000000004</v>
      </c>
      <c r="V111" s="81">
        <f t="shared" si="30"/>
        <v>304.82200000000006</v>
      </c>
      <c r="W111" s="146">
        <f t="shared" si="30"/>
        <v>304.82200000000006</v>
      </c>
      <c r="X111" s="81">
        <f t="shared" si="30"/>
        <v>400.142</v>
      </c>
      <c r="Y111" s="81">
        <f t="shared" si="30"/>
        <v>464.84599999999989</v>
      </c>
      <c r="Z111" s="81">
        <f t="shared" si="30"/>
        <v>518.48699999999997</v>
      </c>
      <c r="AA111" s="81">
        <f t="shared" si="30"/>
        <v>512.70799999999986</v>
      </c>
      <c r="AB111" s="146">
        <f t="shared" si="30"/>
        <v>512.70799999999986</v>
      </c>
      <c r="AC111" s="81">
        <f t="shared" si="30"/>
        <v>533.89799999999991</v>
      </c>
      <c r="AD111" s="81">
        <f t="shared" si="30"/>
        <v>540.02800000000002</v>
      </c>
      <c r="AE111" s="81">
        <f t="shared" si="30"/>
        <v>556.23900000000003</v>
      </c>
      <c r="AF111" s="81">
        <f t="shared" si="30"/>
        <v>168.59099999999989</v>
      </c>
      <c r="AG111" s="146">
        <f t="shared" si="30"/>
        <v>168.59099999999989</v>
      </c>
      <c r="AH111" s="81">
        <f t="shared" si="30"/>
        <v>227.38400000000001</v>
      </c>
      <c r="AI111" s="81">
        <f t="shared" si="30"/>
        <v>176.09599999999995</v>
      </c>
      <c r="AJ111" s="81">
        <f t="shared" si="30"/>
        <v>162.19400000000007</v>
      </c>
      <c r="AK111" s="81">
        <f t="shared" si="30"/>
        <v>101.68</v>
      </c>
      <c r="AL111" s="146">
        <f t="shared" si="30"/>
        <v>101.68</v>
      </c>
      <c r="AM111" s="81">
        <f t="shared" si="30"/>
        <v>46.51600000000002</v>
      </c>
      <c r="AN111" s="81">
        <f t="shared" si="30"/>
        <v>-10.162999999999954</v>
      </c>
      <c r="AO111" s="81">
        <f t="shared" si="30"/>
        <v>-72.021000000000015</v>
      </c>
      <c r="AP111" s="81">
        <f t="shared" si="30"/>
        <v>-29.979999999999961</v>
      </c>
      <c r="AQ111" s="146">
        <f t="shared" si="30"/>
        <v>-29.979999999999961</v>
      </c>
      <c r="AR111" s="81">
        <f t="shared" si="30"/>
        <v>127.65200000000004</v>
      </c>
      <c r="AS111" s="81">
        <f t="shared" si="30"/>
        <v>209.64099999999996</v>
      </c>
      <c r="AT111" s="81">
        <f t="shared" si="30"/>
        <v>283.5859999999999</v>
      </c>
      <c r="AU111" s="81">
        <v>279.64699999999999</v>
      </c>
      <c r="AV111" s="146">
        <v>279.64699999999999</v>
      </c>
      <c r="AW111" s="81">
        <f t="shared" si="30"/>
        <v>323.18000000000006</v>
      </c>
      <c r="AX111" s="81">
        <f t="shared" si="30"/>
        <v>278.73700000000002</v>
      </c>
      <c r="AY111" s="81">
        <f t="shared" si="30"/>
        <v>278.34499999999997</v>
      </c>
      <c r="AZ111" s="81">
        <f t="shared" si="30"/>
        <v>321.15099999999995</v>
      </c>
      <c r="BA111" s="146">
        <f t="shared" si="30"/>
        <v>321.15099999999995</v>
      </c>
      <c r="BB111" s="81">
        <f t="shared" si="30"/>
        <v>331.42400000000004</v>
      </c>
      <c r="BC111" s="81">
        <v>362.47599999999994</v>
      </c>
      <c r="BD111" s="81">
        <v>366.85799999999995</v>
      </c>
      <c r="BE111" s="81">
        <v>378.08799999999997</v>
      </c>
      <c r="BF111" s="177">
        <v>378.08799999999997</v>
      </c>
      <c r="BG111" s="81">
        <v>462.03199999999993</v>
      </c>
      <c r="BH111" s="81">
        <v>492.66800000000012</v>
      </c>
      <c r="BK111" s="210"/>
    </row>
    <row r="112" spans="1:63" ht="15" thickBot="1" x14ac:dyDescent="0.4">
      <c r="AF112" s="157"/>
      <c r="AG112" s="157"/>
      <c r="AN112" s="157"/>
      <c r="AO112" s="153"/>
      <c r="AP112" s="153"/>
      <c r="AS112" s="153"/>
      <c r="AT112" s="153"/>
      <c r="AU112" s="153"/>
      <c r="BF112" s="135"/>
      <c r="BK112" s="210"/>
    </row>
    <row r="113" spans="1:63" ht="16.5" thickBot="1" x14ac:dyDescent="0.45">
      <c r="A113" s="1" t="s">
        <v>183</v>
      </c>
      <c r="B113" s="92" t="s">
        <v>183</v>
      </c>
      <c r="C113" s="2"/>
      <c r="D113" s="3" t="str">
        <f t="shared" ref="D113:AT113" si="31">D1</f>
        <v>1T15</v>
      </c>
      <c r="E113" s="3" t="str">
        <f t="shared" si="31"/>
        <v>2T15</v>
      </c>
      <c r="F113" s="3" t="str">
        <f t="shared" si="31"/>
        <v>3T15</v>
      </c>
      <c r="G113" s="3" t="str">
        <f t="shared" si="31"/>
        <v>4T15</v>
      </c>
      <c r="H113" s="4">
        <f t="shared" si="31"/>
        <v>2015</v>
      </c>
      <c r="I113" s="3" t="str">
        <f t="shared" si="31"/>
        <v>1T16</v>
      </c>
      <c r="J113" s="3" t="str">
        <f t="shared" si="31"/>
        <v>2T16</v>
      </c>
      <c r="K113" s="3" t="str">
        <f t="shared" si="31"/>
        <v>3T16</v>
      </c>
      <c r="L113" s="3" t="str">
        <f t="shared" si="31"/>
        <v>4T16</v>
      </c>
      <c r="M113" s="4">
        <f t="shared" si="31"/>
        <v>2016</v>
      </c>
      <c r="N113" s="3" t="str">
        <f t="shared" si="31"/>
        <v>1T17</v>
      </c>
      <c r="O113" s="3" t="str">
        <f t="shared" si="31"/>
        <v>2T17</v>
      </c>
      <c r="P113" s="3" t="str">
        <f t="shared" si="31"/>
        <v>3T17</v>
      </c>
      <c r="Q113" s="3" t="str">
        <f t="shared" si="31"/>
        <v>4T17</v>
      </c>
      <c r="R113" s="4">
        <f t="shared" si="31"/>
        <v>2017</v>
      </c>
      <c r="S113" s="3" t="str">
        <f t="shared" si="31"/>
        <v>1T18</v>
      </c>
      <c r="T113" s="3" t="str">
        <f t="shared" si="31"/>
        <v>2T18</v>
      </c>
      <c r="U113" s="3" t="str">
        <f t="shared" si="31"/>
        <v>3T18</v>
      </c>
      <c r="V113" s="3" t="str">
        <f t="shared" si="31"/>
        <v>4T18</v>
      </c>
      <c r="W113" s="4">
        <f t="shared" si="31"/>
        <v>2018</v>
      </c>
      <c r="X113" s="3" t="str">
        <f t="shared" si="31"/>
        <v>1T19</v>
      </c>
      <c r="Y113" s="3" t="str">
        <f t="shared" si="31"/>
        <v>2T19</v>
      </c>
      <c r="Z113" s="3" t="str">
        <f t="shared" si="31"/>
        <v>3T19</v>
      </c>
      <c r="AA113" s="3" t="str">
        <f t="shared" si="31"/>
        <v>4T19</v>
      </c>
      <c r="AB113" s="4">
        <f t="shared" si="31"/>
        <v>2019</v>
      </c>
      <c r="AC113" s="3" t="str">
        <f t="shared" si="31"/>
        <v>1T20</v>
      </c>
      <c r="AD113" s="3" t="str">
        <f t="shared" si="31"/>
        <v>2T20</v>
      </c>
      <c r="AE113" s="3" t="str">
        <f t="shared" si="31"/>
        <v>3T20</v>
      </c>
      <c r="AF113" s="3" t="str">
        <f t="shared" si="31"/>
        <v>4T20</v>
      </c>
      <c r="AG113" s="4">
        <f t="shared" si="31"/>
        <v>2020</v>
      </c>
      <c r="AH113" s="3" t="str">
        <f t="shared" si="31"/>
        <v>1T21</v>
      </c>
      <c r="AI113" s="3" t="str">
        <f t="shared" si="31"/>
        <v>2T21</v>
      </c>
      <c r="AJ113" s="3" t="str">
        <f t="shared" si="31"/>
        <v>3T21</v>
      </c>
      <c r="AK113" s="3" t="str">
        <f t="shared" si="31"/>
        <v>4T21</v>
      </c>
      <c r="AL113" s="4">
        <f t="shared" si="31"/>
        <v>2021</v>
      </c>
      <c r="AM113" s="3" t="str">
        <f t="shared" si="31"/>
        <v>1T22</v>
      </c>
      <c r="AN113" s="3" t="str">
        <f t="shared" si="31"/>
        <v>2T22</v>
      </c>
      <c r="AO113" s="3" t="str">
        <f t="shared" si="31"/>
        <v>3T22</v>
      </c>
      <c r="AP113" s="3" t="str">
        <f t="shared" si="31"/>
        <v>4T22</v>
      </c>
      <c r="AQ113" s="4">
        <f t="shared" si="31"/>
        <v>2022</v>
      </c>
      <c r="AR113" s="3" t="str">
        <f t="shared" si="31"/>
        <v>1T23</v>
      </c>
      <c r="AS113" s="3" t="str">
        <f t="shared" si="31"/>
        <v>2T23</v>
      </c>
      <c r="AT113" s="3" t="str">
        <f t="shared" si="31"/>
        <v>3T23</v>
      </c>
      <c r="AU113" s="3" t="s">
        <v>37</v>
      </c>
      <c r="AV113" s="4">
        <v>2023</v>
      </c>
      <c r="AW113" s="3" t="str">
        <f t="shared" ref="AW113:BB113" si="32">AW1</f>
        <v>1T24</v>
      </c>
      <c r="AX113" s="3" t="str">
        <f t="shared" si="32"/>
        <v>2T24</v>
      </c>
      <c r="AY113" s="3" t="str">
        <f t="shared" si="32"/>
        <v>3T24</v>
      </c>
      <c r="AZ113" s="3" t="str">
        <f t="shared" si="32"/>
        <v>4T24</v>
      </c>
      <c r="BA113" s="4">
        <f t="shared" si="32"/>
        <v>2024</v>
      </c>
      <c r="BB113" s="3" t="str">
        <f t="shared" si="32"/>
        <v>1T25</v>
      </c>
      <c r="BC113" s="3" t="s">
        <v>383</v>
      </c>
      <c r="BD113" s="3" t="s">
        <v>384</v>
      </c>
      <c r="BE113" s="3" t="s">
        <v>385</v>
      </c>
      <c r="BF113" s="4">
        <v>2025</v>
      </c>
      <c r="BG113" s="3" t="s">
        <v>386</v>
      </c>
      <c r="BH113" s="3" t="s">
        <v>387</v>
      </c>
      <c r="BK113" s="210"/>
    </row>
    <row r="114" spans="1:63" ht="16" x14ac:dyDescent="0.4">
      <c r="A114" s="5" t="s">
        <v>184</v>
      </c>
      <c r="B114" s="5" t="s">
        <v>250</v>
      </c>
      <c r="C114" s="5"/>
      <c r="D114" s="6"/>
      <c r="E114" s="6"/>
      <c r="F114" s="6"/>
      <c r="G114" s="6"/>
      <c r="H114" s="7">
        <f>H14</f>
        <v>133.23418418045833</v>
      </c>
      <c r="I114" s="6">
        <f>I14+G14+F14+E14</f>
        <v>132.91418418045834</v>
      </c>
      <c r="J114" s="6">
        <f>J14+I14+G14+F14</f>
        <v>111.33807090251722</v>
      </c>
      <c r="K114" s="6">
        <f>K14+J14+I14+G14</f>
        <v>93.381199287560918</v>
      </c>
      <c r="L114" s="6">
        <f>L14+K14+J14+I14</f>
        <v>72.722999999999999</v>
      </c>
      <c r="M114" s="7">
        <f>M14</f>
        <v>72.722999999999999</v>
      </c>
      <c r="N114" s="6">
        <f>N14+L14+K14+J14</f>
        <v>79.938999999999993</v>
      </c>
      <c r="O114" s="6">
        <f>O14+N14+L14+K14</f>
        <v>105.682</v>
      </c>
      <c r="P114" s="6">
        <f>P14+O14+N14+L14</f>
        <v>128.23099999999999</v>
      </c>
      <c r="Q114" s="6">
        <f>Q14+P14+O14+N14</f>
        <v>149.648</v>
      </c>
      <c r="R114" s="7">
        <f>R14</f>
        <v>149.648</v>
      </c>
      <c r="S114" s="6">
        <f>S14+Q14+P14+O14</f>
        <v>170.51799999999997</v>
      </c>
      <c r="T114" s="6">
        <f>T14+S14+Q14+P14</f>
        <v>189.85000000000002</v>
      </c>
      <c r="U114" s="6">
        <f>U14+T14+S14+Q14</f>
        <v>207.07499999999999</v>
      </c>
      <c r="V114" s="6">
        <f>V14+U14+T14+S14</f>
        <v>209.56700000000001</v>
      </c>
      <c r="W114" s="7">
        <f>W14</f>
        <v>209.56700000000001</v>
      </c>
      <c r="X114" s="6">
        <f>X14+V14+U14+T14</f>
        <v>192.78399999999999</v>
      </c>
      <c r="Y114" s="6">
        <f>Y14+X14+V14+U14</f>
        <v>159.67599999999999</v>
      </c>
      <c r="Z114" s="6">
        <f>Z14+Y14+X14+V14</f>
        <v>108.684</v>
      </c>
      <c r="AA114" s="6">
        <f>AA14+Z14+Y14+X14</f>
        <v>32.518000000000001</v>
      </c>
      <c r="AB114" s="7">
        <f>AB14</f>
        <v>32.518000000000001</v>
      </c>
      <c r="AC114" s="6">
        <f>AC14+AA14+Z14+Y14</f>
        <v>-7.2169999999999987</v>
      </c>
      <c r="AD114" s="6">
        <f>AD14+AC14+AA14+Z14</f>
        <v>-35.309000000000005</v>
      </c>
      <c r="AE114" s="6">
        <f>AE14+AD14+AC14+AA14</f>
        <v>-57.128999999999984</v>
      </c>
      <c r="AF114" s="6">
        <f>AF14+AE14+AD14+AC14</f>
        <v>-40.149000000000001</v>
      </c>
      <c r="AG114" s="7">
        <f>AG14</f>
        <v>-40.149000000000001</v>
      </c>
      <c r="AH114" s="6">
        <f>AH14+AF14+AE14+AD14</f>
        <v>-39.856000000000002</v>
      </c>
      <c r="AI114" s="6">
        <f>AI14+AH14+AF14+AE14+184.1</f>
        <v>-11.743000000000023</v>
      </c>
      <c r="AJ114" s="6">
        <f>AJ14+AI14+AH14+AF14+184.1</f>
        <v>4.929000000000002</v>
      </c>
      <c r="AK114" s="6">
        <f>AK14+AJ14+AI14+AH14+184.1</f>
        <v>8.2139999999999986</v>
      </c>
      <c r="AL114" s="7">
        <f>AL14+184.1</f>
        <v>8.2139999999999986</v>
      </c>
      <c r="AM114" s="6">
        <f>AM14+AK14+AJ14+AI14+184.1</f>
        <v>43.140000000000015</v>
      </c>
      <c r="AN114" s="6">
        <f>AN14+AM14+AK14+AJ14</f>
        <v>67.677308000000025</v>
      </c>
      <c r="AO114" s="6">
        <f>AO14+AN14+AM14+AK14</f>
        <v>93.750000000000014</v>
      </c>
      <c r="AP114" s="6">
        <f>AP14+AO14+AN14+(AM14-164)</f>
        <v>114.23399999999998</v>
      </c>
      <c r="AQ114" s="7">
        <f>AQ14-164</f>
        <v>114.23399999999998</v>
      </c>
      <c r="AR114" s="6">
        <f>AR14+(AP14-164)+AO14+AN14</f>
        <v>118.45099999999996</v>
      </c>
      <c r="AS114" s="6">
        <f>AS14+AR14+(AP14-164)+AO14</f>
        <v>57.79369199999995</v>
      </c>
      <c r="AT114" s="6">
        <f>AT14+AS14+AR14+(AP14-164)</f>
        <v>-0.22000000000003794</v>
      </c>
      <c r="AU114" s="6">
        <v>-1.9580000000000055</v>
      </c>
      <c r="AV114" s="7">
        <v>-1.9580000000000837</v>
      </c>
      <c r="AW114" s="6">
        <f>AW14+AU14+AT14+AS14</f>
        <v>-21.495000000000012</v>
      </c>
      <c r="AX114" s="6">
        <f>AX14+AW14+AU14+AT14</f>
        <v>32.461999999999996</v>
      </c>
      <c r="AY114" s="6">
        <f>AY14+AX14+AW14+AU14</f>
        <v>86.730999999999995</v>
      </c>
      <c r="AZ114" s="6">
        <f>AZ14+AY14+AX14+AW14</f>
        <v>63.320999999999998</v>
      </c>
      <c r="BA114" s="7">
        <f>BA14</f>
        <v>63.320999999999998</v>
      </c>
      <c r="BB114" s="6">
        <f>BB14+AZ14+AY14+AX14</f>
        <v>65.525999999999996</v>
      </c>
      <c r="BC114" s="6">
        <v>28.376007409999964</v>
      </c>
      <c r="BD114" s="6">
        <v>-8.8170000000000073</v>
      </c>
      <c r="BE114" s="6">
        <v>-36.923000000000002</v>
      </c>
      <c r="BF114" s="158">
        <v>-36.923000000000002</v>
      </c>
      <c r="BG114" s="6">
        <v>-66.103999999999985</v>
      </c>
      <c r="BH114" s="6">
        <v>-61.332007409999967</v>
      </c>
      <c r="BK114" s="210"/>
    </row>
    <row r="115" spans="1:63" ht="16" x14ac:dyDescent="0.4">
      <c r="A115" s="5" t="s">
        <v>186</v>
      </c>
      <c r="B115" s="9" t="s">
        <v>189</v>
      </c>
      <c r="C115" s="9"/>
      <c r="D115" s="6"/>
      <c r="E115" s="6"/>
      <c r="F115" s="6"/>
      <c r="G115" s="6"/>
      <c r="H115" s="7">
        <f>H93</f>
        <v>568.21799999999996</v>
      </c>
      <c r="I115" s="6">
        <f>AVERAGE(D93,I93,G93,F93,E93)</f>
        <v>556.15</v>
      </c>
      <c r="J115" s="6">
        <f>AVERAGE(E93,J93,I93,G93,F93)</f>
        <v>553.57999999999993</v>
      </c>
      <c r="K115" s="6">
        <f>AVERAGE(F93,K93,J93,I93,G93)</f>
        <v>554.18333333333339</v>
      </c>
      <c r="L115" s="6">
        <f>AVERAGE(G93,L93,K93,J93,I93)</f>
        <v>556.02874999999995</v>
      </c>
      <c r="M115" s="7">
        <f>AVERAGE(G93,L93,K93,J93,I93)</f>
        <v>556.02874999999995</v>
      </c>
      <c r="N115" s="6">
        <f>AVERAGE(I93,N93,L93,K93,J93)</f>
        <v>558.9620000000001</v>
      </c>
      <c r="O115" s="6">
        <f>AVERAGE(J93,O93,N93,L93,K93)</f>
        <v>567.97399999999993</v>
      </c>
      <c r="P115" s="6">
        <f>AVERAGE(K93,P93,O93,N93,L93)</f>
        <v>581.68939999999998</v>
      </c>
      <c r="Q115" s="6">
        <f>AVERAGE(L93,Q93,P93,O93,N93)</f>
        <v>599.05820000000006</v>
      </c>
      <c r="R115" s="7">
        <f>AVERAGE(L93,Q93,P93,O93,N93)</f>
        <v>599.05820000000006</v>
      </c>
      <c r="S115" s="6">
        <f>AVERAGE(N93,S93,Q93,P93,O93)</f>
        <v>620.51400000000001</v>
      </c>
      <c r="T115" s="6">
        <f>AVERAGE(O93,T93,S93,Q93,P93)</f>
        <v>640.24959999999999</v>
      </c>
      <c r="U115" s="6">
        <f>AVERAGE(P93,U93,T93,S93,Q93)</f>
        <v>656.63499999999999</v>
      </c>
      <c r="V115" s="6">
        <f>AVERAGE(Q93,V93,U93,T93,S93)</f>
        <v>672.18180000000007</v>
      </c>
      <c r="W115" s="7">
        <f>AVERAGE(Q93,V93,U93,T93,S93)</f>
        <v>672.18180000000007</v>
      </c>
      <c r="X115" s="6">
        <f>AVERAGE(S93,X93,V93,U93,T93)</f>
        <v>683.14820000000009</v>
      </c>
      <c r="Y115" s="6">
        <f>AVERAGE(T93,Y93,X93,V93,U93)</f>
        <v>689.70764999999994</v>
      </c>
      <c r="Z115" s="6">
        <f>AVERAGE(U93,Z93,Y93,X93,V93)</f>
        <v>691.61255000000006</v>
      </c>
      <c r="AA115" s="6">
        <f>AVERAGE(V93,AA93,Z93,Y93,X93)</f>
        <v>689.97175000000004</v>
      </c>
      <c r="AB115" s="7">
        <f>AVERAGE(V93,AA93,Z93,Y93,X93)</f>
        <v>689.97175000000004</v>
      </c>
      <c r="AC115" s="6">
        <f>AVERAGE(X93,AC93,AA93,Z93,Y93)</f>
        <v>681.09654999999998</v>
      </c>
      <c r="AD115" s="6">
        <f>AVERAGE(Y93,AD93,AC93,AA93,Z93)</f>
        <v>671.06455000000005</v>
      </c>
      <c r="AE115" s="6">
        <f>AVERAGE(Z93,AE93,AD93,AC93,AA93)</f>
        <v>657.59230000000002</v>
      </c>
      <c r="AF115" s="6">
        <f>AVERAGE(AA93,AF93,AE93,AD93,AC93)</f>
        <v>691.83859999999993</v>
      </c>
      <c r="AG115" s="7">
        <f>AVERAGE(AA93,AF93,AE93,AD93,AC93)</f>
        <v>691.83859999999993</v>
      </c>
      <c r="AH115" s="6">
        <f>AVERAGE(AC93,AH93,AF93,AE93,AD93)</f>
        <v>719.29259999999999</v>
      </c>
      <c r="AI115" s="6">
        <f>AVERAGE(AD93,AH93,AF93,AE93,AI93+200)</f>
        <v>750.04160000000002</v>
      </c>
      <c r="AJ115" s="6">
        <f>AVERAGE(AE93,AF93,AH93,AI93+200,AJ93+200)</f>
        <v>782.21440000000007</v>
      </c>
      <c r="AK115" s="6">
        <f>AVERAGE(AF93,AH93,AI93+200,AJ93+200,AK93+200)</f>
        <v>820.46219999999994</v>
      </c>
      <c r="AL115" s="7">
        <f>AVERAGE(AF93,AH93,AI93+200,AJ93+200,AK93+200)</f>
        <v>820.46219999999994</v>
      </c>
      <c r="AM115" s="6">
        <f>AVERAGE(AH93,AI93+200,AJ93+200,AK93+200,AM93+200)</f>
        <v>819.39419999999996</v>
      </c>
      <c r="AN115" s="6">
        <f>AVERAGE(AI93,AJ93,AK93,AM93,AN93)+200</f>
        <v>829.3280962</v>
      </c>
      <c r="AO115" s="6">
        <f>AVERAGE(AJ93,AK93,AM93,AN93,AO93)+200</f>
        <v>838.2284962</v>
      </c>
      <c r="AP115" s="6">
        <f>AVERAGE(AM93+200,AL93+200,AN93+200,AO93+200,AP93)</f>
        <v>840.30609619999996</v>
      </c>
      <c r="AQ115" s="7">
        <f>AVERAGE(AK93+200,AM93+200,AN93+200,AO93+200,AP93)</f>
        <v>840.30609619999996</v>
      </c>
      <c r="AR115" s="6">
        <f>AVERAGE(AN93+200,AM93+200,AO93+200,AP93,AR93)</f>
        <v>834.63669619999996</v>
      </c>
      <c r="AS115" s="6">
        <f>AVERAGE(AN93+200,AO93+200,AP93,AR93,AS93)</f>
        <v>801.00149619999991</v>
      </c>
      <c r="AT115" s="6">
        <f>AVERAGE(AO93+200,AP93,AR93,AS93,AT93)</f>
        <v>758.47100000000012</v>
      </c>
      <c r="AU115" s="6">
        <v>718.15600000000018</v>
      </c>
      <c r="AV115" s="7">
        <v>718.15600000000018</v>
      </c>
      <c r="AW115" s="6">
        <f>AVERAGE(AS93,AR93,AT93,AU93,AW93)</f>
        <v>684.97360000000003</v>
      </c>
      <c r="AX115" s="6">
        <f>AVERAGE(AT93,AS93,AU93,AW93,AX93)</f>
        <v>660.06219999999996</v>
      </c>
      <c r="AY115" s="6">
        <f>AVERAGE(AU93,AT93,AW93,AX93,AY93)</f>
        <v>654.88319999999999</v>
      </c>
      <c r="AZ115" s="6">
        <f>AVERAGE(AU93,AW93,AX93,AY93,AZ93)</f>
        <v>649.56899999999996</v>
      </c>
      <c r="BA115" s="7">
        <f>AVERAGE(AV93,AW93,AX93,AY93,AZ93)</f>
        <v>649.56899999999996</v>
      </c>
      <c r="BB115" s="6">
        <f>AVERAGE(AW93,AX93,AY93,AZ93,BB93)</f>
        <v>645.83519999999987</v>
      </c>
      <c r="BC115" s="6">
        <v>639.70180148199995</v>
      </c>
      <c r="BD115" s="6">
        <v>625.73900148200005</v>
      </c>
      <c r="BE115" s="6">
        <v>605.49825185249995</v>
      </c>
      <c r="BF115" s="158">
        <v>605.49825185249995</v>
      </c>
      <c r="BG115" s="6">
        <v>584.07500185250001</v>
      </c>
      <c r="BH115" s="6">
        <v>563.41875000000005</v>
      </c>
      <c r="BK115" s="210"/>
    </row>
    <row r="116" spans="1:63" ht="16.5" thickBot="1" x14ac:dyDescent="0.45">
      <c r="A116" s="82" t="s">
        <v>382</v>
      </c>
      <c r="B116" s="82" t="s">
        <v>191</v>
      </c>
      <c r="C116" s="17"/>
      <c r="D116" s="6"/>
      <c r="E116" s="6"/>
      <c r="F116" s="6"/>
      <c r="G116" s="6"/>
      <c r="H116" s="7">
        <f>H111</f>
        <v>241.2</v>
      </c>
      <c r="I116" s="6">
        <f>AVERAGE(D111,E111,F111,G111,I111)</f>
        <v>241.87100000000001</v>
      </c>
      <c r="J116" s="6">
        <f>AVERAGE(E111,F111,G111,I111,J111)</f>
        <v>250.64100000000002</v>
      </c>
      <c r="K116" s="6">
        <f>AVERAGE(F111,G111,I111,J111,K111)</f>
        <v>244.94066666666666</v>
      </c>
      <c r="L116" s="6">
        <f>AVERAGE(G111,I111,J111,K111,L111)</f>
        <v>238.27850000000001</v>
      </c>
      <c r="M116" s="7">
        <f>AVERAGE(G111,I111,J111,K111,L111)</f>
        <v>238.27850000000001</v>
      </c>
      <c r="N116" s="6">
        <f>AVERAGE(I111,J111,K111,L111,N111)</f>
        <v>232.21999999999997</v>
      </c>
      <c r="O116" s="6">
        <f>AVERAGE(J111,K111,L111,N111,O111)</f>
        <v>221.45179999999999</v>
      </c>
      <c r="P116" s="6">
        <f>AVERAGE(K111,L111,N111,O111,P111)</f>
        <v>206.26300000000001</v>
      </c>
      <c r="Q116" s="6">
        <f>AVERAGE(L111,N111,O111,P111,Q111)</f>
        <v>190.1814</v>
      </c>
      <c r="R116" s="7">
        <f>AVERAGE(L111,N111,O111,P111,Q111)</f>
        <v>190.1814</v>
      </c>
      <c r="S116" s="6">
        <f>AVERAGE(N111,O111,P111,Q111,S111)</f>
        <v>171.64119999999994</v>
      </c>
      <c r="T116" s="6">
        <f>AVERAGE(O111,P111,Q111,S111,T111)</f>
        <v>160.50899999999996</v>
      </c>
      <c r="U116" s="6">
        <f>AVERAGE(P111,Q111,S111,T111,U111)</f>
        <v>154.25459999999995</v>
      </c>
      <c r="V116" s="6">
        <f>AVERAGE(Q111,S111,T111,U111,V111)</f>
        <v>178.5256</v>
      </c>
      <c r="W116" s="7">
        <f>AVERAGE(Q111,S111,T111,U111,V111)</f>
        <v>178.5256</v>
      </c>
      <c r="X116" s="6">
        <f>AVERAGE(S111,T111,U111,V111,X111)</f>
        <v>227.92759999999998</v>
      </c>
      <c r="Y116" s="6">
        <f>AVERAGE(T111,U111,V111,X111,Y111)</f>
        <v>295.77859999999998</v>
      </c>
      <c r="Z116" s="6">
        <f>AVERAGE(U111,V111,X111,Y111,Z111)</f>
        <v>369.01099999999997</v>
      </c>
      <c r="AA116" s="6">
        <f>AVERAGE(V111,X111,Y111,Z111,AA111)</f>
        <v>440.20100000000002</v>
      </c>
      <c r="AB116" s="7">
        <f>AVERAGE(V111,X111,Y111,Z111,AA111)</f>
        <v>440.20100000000002</v>
      </c>
      <c r="AC116" s="6">
        <f>AVERAGE(X111,Y111,Z111,AA111,AC111)</f>
        <v>486.01619999999991</v>
      </c>
      <c r="AD116" s="6">
        <f>AVERAGE(Y111,Z111,AA111,AC111,AD111)</f>
        <v>513.99339999999995</v>
      </c>
      <c r="AE116" s="6">
        <f>AVERAGE(Z111,AA111,AC111,AD111,AE111)</f>
        <v>532.27199999999993</v>
      </c>
      <c r="AF116" s="6">
        <f>AVERAGE(AA111,AC111,AD111,AE111,AF111)</f>
        <v>462.29279999999989</v>
      </c>
      <c r="AG116" s="7">
        <f>AVERAGE(AA111,AC111,AD111,AE111,AF111)</f>
        <v>462.29279999999989</v>
      </c>
      <c r="AH116" s="6">
        <f>AVERAGE(AC111,AD111,AE111,AF111,AH111)</f>
        <v>405.22799999999995</v>
      </c>
      <c r="AI116" s="6">
        <f>AVERAGE(AD111,AE111,AF111,AH111,AI111)</f>
        <v>333.66759999999999</v>
      </c>
      <c r="AJ116" s="6">
        <f>AVERAGE(AE111,AF111,AH111,AI111,AJ111)</f>
        <v>258.10079999999999</v>
      </c>
      <c r="AK116" s="6">
        <f>AVERAGE(AF111,AH111,AI111,AJ111,AK111)</f>
        <v>167.18899999999999</v>
      </c>
      <c r="AL116" s="7">
        <f>AVERAGE(AF111,AH111,AI111,AJ111,AK111)</f>
        <v>167.18899999999999</v>
      </c>
      <c r="AM116" s="6">
        <f>AVERAGE(AH111,AI111,AJ111,AK111,AM111)</f>
        <v>142.77400000000003</v>
      </c>
      <c r="AN116" s="6">
        <f>AVERAGE(AI111,AJ111,AK111,AM111,AN111)</f>
        <v>95.264600000000016</v>
      </c>
      <c r="AO116" s="6">
        <f>AVERAGE(AJ111,AK111,AM111,AN111,AO111)</f>
        <v>45.641200000000026</v>
      </c>
      <c r="AP116" s="6">
        <f>AVERAGE(AM111,AL111,AN111,AO111,AP111)</f>
        <v>7.206400000000019</v>
      </c>
      <c r="AQ116" s="7">
        <f>AVERAGE(AK111,AM111,AN111,AO111,AP111)</f>
        <v>7.206400000000019</v>
      </c>
      <c r="AR116" s="6">
        <f>AVERAGE(AN111,AM111,AO111,AP111,AR111)</f>
        <v>12.400800000000027</v>
      </c>
      <c r="AS116" s="6">
        <f>AVERAGE(AO111,AN111,AP111,AR111,AS111)</f>
        <v>45.025800000000018</v>
      </c>
      <c r="AT116" s="6">
        <f>AVERAGE(AP111,AO111,AR111,AS111,AT111)</f>
        <v>103.77559999999998</v>
      </c>
      <c r="AU116" s="6">
        <v>174.10919999999996</v>
      </c>
      <c r="AV116" s="7">
        <v>174.10919999999996</v>
      </c>
      <c r="AW116" s="6">
        <f>AVERAGE(AS111,AR111,AT111,AU111,AW111)</f>
        <v>244.74119999999999</v>
      </c>
      <c r="AX116" s="6">
        <f>AVERAGE(AT111,AS111,AU111,AW111,AX111)</f>
        <v>274.95819999999998</v>
      </c>
      <c r="AY116" s="6">
        <f>AVERAGE(AU111,AT111,AW111,AX111,AY111)</f>
        <v>288.69900000000001</v>
      </c>
      <c r="AZ116" s="6">
        <f>AVERAGE(AW111,AU111,AX111,AY111,AZ111)</f>
        <v>296.21199999999999</v>
      </c>
      <c r="BA116" s="7">
        <f>AVERAGE(AW111,AV111,AX111,AY111,AZ111)</f>
        <v>296.21199999999999</v>
      </c>
      <c r="BB116" s="6">
        <f>AVERAGE(AX111,AW111,AY111,AZ111,BB111)</f>
        <v>306.56740000000002</v>
      </c>
      <c r="BC116" s="6">
        <v>314.42659999999995</v>
      </c>
      <c r="BD116" s="6">
        <f>AVERAGE(AZ111,BB111,BC111,BD111)</f>
        <v>345.47724999999997</v>
      </c>
      <c r="BE116" s="6">
        <v>359.71149999999994</v>
      </c>
      <c r="BF116" s="158">
        <v>359.71149999999994</v>
      </c>
      <c r="BG116" s="6">
        <v>392.36349999999993</v>
      </c>
      <c r="BH116" s="6">
        <v>424.91149999999999</v>
      </c>
      <c r="BK116" s="210"/>
    </row>
    <row r="117" spans="1:63" ht="16" x14ac:dyDescent="0.4">
      <c r="A117" s="128" t="s">
        <v>192</v>
      </c>
      <c r="B117" s="128" t="s">
        <v>183</v>
      </c>
      <c r="C117" s="21"/>
      <c r="D117" s="131"/>
      <c r="E117" s="131"/>
      <c r="F117" s="131"/>
      <c r="G117" s="131"/>
      <c r="H117" s="130">
        <f t="shared" ref="H117:AT117" si="33">H114/(H115+H116)</f>
        <v>0.16460491881877887</v>
      </c>
      <c r="I117" s="131">
        <f t="shared" si="33"/>
        <v>0.1665547450260812</v>
      </c>
      <c r="J117" s="131">
        <f t="shared" si="33"/>
        <v>0.13844213332220523</v>
      </c>
      <c r="K117" s="131">
        <f t="shared" si="33"/>
        <v>0.11685445473738859</v>
      </c>
      <c r="L117" s="131">
        <f t="shared" si="33"/>
        <v>9.155525144709431E-2</v>
      </c>
      <c r="M117" s="130">
        <f t="shared" si="33"/>
        <v>9.155525144709431E-2</v>
      </c>
      <c r="N117" s="131">
        <f t="shared" si="33"/>
        <v>0.10103743512870615</v>
      </c>
      <c r="O117" s="131">
        <f t="shared" si="33"/>
        <v>0.13387198644888476</v>
      </c>
      <c r="P117" s="131">
        <f t="shared" si="33"/>
        <v>0.16273952589014259</v>
      </c>
      <c r="Q117" s="131">
        <f t="shared" si="33"/>
        <v>0.1896103540673833</v>
      </c>
      <c r="R117" s="130">
        <f t="shared" si="33"/>
        <v>0.1896103540673833</v>
      </c>
      <c r="S117" s="131">
        <f t="shared" si="33"/>
        <v>0.21525832311648019</v>
      </c>
      <c r="T117" s="131">
        <f t="shared" si="33"/>
        <v>0.23708768160591726</v>
      </c>
      <c r="U117" s="131">
        <f t="shared" si="33"/>
        <v>0.25536768507081603</v>
      </c>
      <c r="V117" s="131">
        <f t="shared" si="33"/>
        <v>0.24634439526445873</v>
      </c>
      <c r="W117" s="130">
        <f t="shared" si="33"/>
        <v>0.24634439526445873</v>
      </c>
      <c r="X117" s="131">
        <f t="shared" si="33"/>
        <v>0.21160039592753971</v>
      </c>
      <c r="Y117" s="131">
        <f t="shared" si="33"/>
        <v>0.16202762849304087</v>
      </c>
      <c r="Z117" s="131">
        <f t="shared" si="33"/>
        <v>0.10247179595437042</v>
      </c>
      <c r="AA117" s="131">
        <f t="shared" si="33"/>
        <v>2.8772592508534641E-2</v>
      </c>
      <c r="AB117" s="130">
        <f t="shared" si="33"/>
        <v>2.8772592508534641E-2</v>
      </c>
      <c r="AC117" s="131">
        <f t="shared" si="33"/>
        <v>-6.183635642743171E-3</v>
      </c>
      <c r="AD117" s="131">
        <f t="shared" si="33"/>
        <v>-2.979516740088534E-2</v>
      </c>
      <c r="AE117" s="131">
        <f t="shared" si="33"/>
        <v>-4.8013038125440007E-2</v>
      </c>
      <c r="AF117" s="131">
        <f t="shared" si="33"/>
        <v>-3.4787200140295994E-2</v>
      </c>
      <c r="AG117" s="130">
        <f t="shared" si="33"/>
        <v>-3.4787200140295994E-2</v>
      </c>
      <c r="AH117" s="131">
        <f t="shared" si="33"/>
        <v>-3.5442658853915177E-2</v>
      </c>
      <c r="AI117" s="131">
        <f t="shared" si="33"/>
        <v>-1.0835932739151816E-2</v>
      </c>
      <c r="AJ117" s="131">
        <f t="shared" si="33"/>
        <v>4.7379871023705139E-3</v>
      </c>
      <c r="AK117" s="131">
        <f t="shared" si="33"/>
        <v>8.3167012807760475E-3</v>
      </c>
      <c r="AL117" s="130">
        <f t="shared" si="33"/>
        <v>8.3167012807760475E-3</v>
      </c>
      <c r="AM117" s="131">
        <f t="shared" si="33"/>
        <v>4.483623549396043E-2</v>
      </c>
      <c r="AN117" s="131">
        <f t="shared" si="33"/>
        <v>7.3196887968235314E-2</v>
      </c>
      <c r="AO117" s="131">
        <f t="shared" si="33"/>
        <v>0.10606767083774583</v>
      </c>
      <c r="AP117" s="131">
        <f t="shared" si="33"/>
        <v>0.13478739312068208</v>
      </c>
      <c r="AQ117" s="130">
        <f t="shared" si="33"/>
        <v>0.13478739312068208</v>
      </c>
      <c r="AR117" s="131">
        <f t="shared" si="33"/>
        <v>0.13984150705417139</v>
      </c>
      <c r="AS117" s="131">
        <f t="shared" si="33"/>
        <v>6.8311852654855218E-2</v>
      </c>
      <c r="AT117" s="131">
        <f t="shared" si="33"/>
        <v>-2.5514742534216768E-4</v>
      </c>
      <c r="AU117" s="131">
        <v>-2.1944148443758709E-3</v>
      </c>
      <c r="AV117" s="130">
        <v>-2.1944148443759585E-3</v>
      </c>
      <c r="AW117" s="131">
        <f>AW114/(AW115+AW116)</f>
        <v>-2.3119993357102644E-2</v>
      </c>
      <c r="AX117" s="131">
        <f>AX114/(AX115+AX116)</f>
        <v>3.4717959094796219E-2</v>
      </c>
      <c r="AY117" s="131">
        <f>AY114/(AY115+AY116)</f>
        <v>9.1916740269157249E-2</v>
      </c>
      <c r="AZ117" s="131">
        <f t="shared" ref="AZ117" si="34">AZ114/(AZ115+AZ116)</f>
        <v>6.6951017201656624E-2</v>
      </c>
      <c r="BA117" s="130">
        <f>BA114/(BA115+BA116)</f>
        <v>6.6951017201656624E-2</v>
      </c>
      <c r="BB117" s="131">
        <f>BB114/(BB115+BB116)</f>
        <v>6.8800736159267101E-2</v>
      </c>
      <c r="BC117" s="131">
        <v>3.4621547587034972E-2</v>
      </c>
      <c r="BD117" s="131">
        <v>-9.2055688903320484E-3</v>
      </c>
      <c r="BE117" s="131">
        <v>-3.8253861328208426E-2</v>
      </c>
      <c r="BF117" s="183">
        <v>-3.8253861328208426E-2</v>
      </c>
      <c r="BG117" s="131">
        <v>-6.7699092031487315E-2</v>
      </c>
      <c r="BH117" s="131">
        <v>-6.2056187605306998E-2</v>
      </c>
      <c r="BK117" s="210"/>
    </row>
    <row r="119" spans="1:63" ht="16" x14ac:dyDescent="0.4">
      <c r="AQ119" s="67"/>
      <c r="AV119" s="67"/>
      <c r="BA119" s="67"/>
    </row>
    <row r="120" spans="1:63" x14ac:dyDescent="0.35">
      <c r="H120" s="155"/>
      <c r="I120" s="155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  <c r="V120" s="155"/>
      <c r="W120" s="155"/>
      <c r="X120" s="155"/>
      <c r="Y120" s="155"/>
      <c r="Z120" s="155"/>
      <c r="AA120" s="155"/>
      <c r="AB120" s="155"/>
      <c r="AC120" s="155"/>
      <c r="AD120" s="155"/>
      <c r="AE120" s="155"/>
      <c r="AF120" s="155"/>
      <c r="AG120" s="155"/>
      <c r="AH120" s="155"/>
      <c r="AI120" s="155"/>
      <c r="AJ120" s="155"/>
      <c r="AK120" s="155"/>
      <c r="AL120" s="155"/>
      <c r="AM120" s="155"/>
      <c r="AN120" s="155"/>
      <c r="AO120" s="155"/>
      <c r="AP120" s="155"/>
      <c r="AQ120" s="155"/>
      <c r="AR120" s="155"/>
      <c r="AS120" s="155"/>
      <c r="AT120" s="155"/>
      <c r="AU120" s="155"/>
      <c r="AV120" s="155"/>
      <c r="AW120" s="155"/>
      <c r="AX120" s="155"/>
      <c r="AY120" s="155"/>
      <c r="AZ120" s="155"/>
      <c r="BA120" s="155"/>
      <c r="BB120" s="155"/>
      <c r="BC120" s="155"/>
      <c r="BD120" s="155"/>
      <c r="BE120" s="155"/>
      <c r="BF120" s="155"/>
      <c r="BG120" s="155"/>
      <c r="BH120" s="155"/>
    </row>
    <row r="121" spans="1:63" x14ac:dyDescent="0.35"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  <c r="AF121" s="155"/>
      <c r="AG121" s="155"/>
      <c r="AH121" s="155"/>
      <c r="AI121" s="155"/>
      <c r="AJ121" s="155"/>
      <c r="AK121" s="155"/>
      <c r="AL121" s="155"/>
      <c r="AM121" s="155"/>
      <c r="AN121" s="155"/>
      <c r="AO121" s="155"/>
      <c r="AP121" s="155"/>
      <c r="AQ121" s="155"/>
      <c r="AR121" s="155"/>
      <c r="AS121" s="155"/>
      <c r="AT121" s="155"/>
      <c r="AU121" s="155"/>
      <c r="AV121" s="155"/>
      <c r="AW121" s="155"/>
      <c r="AX121" s="155"/>
      <c r="AY121" s="155"/>
      <c r="AZ121" s="155"/>
      <c r="BA121" s="155"/>
      <c r="BB121" s="155"/>
      <c r="BC121" s="155"/>
      <c r="BD121" s="155"/>
      <c r="BE121" s="155"/>
      <c r="BF121" s="155"/>
      <c r="BG121" s="155"/>
      <c r="BH121" s="155"/>
    </row>
  </sheetData>
  <pageMargins left="0.7" right="0.7" top="0.75" bottom="0.75" header="0.3" footer="0.3"/>
  <pageSetup paperSize="9" orientation="portrait" r:id="rId1"/>
  <customProperties>
    <customPr name="_pios_id" r:id="rId2"/>
  </customPropertie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889B0-4F68-4E6C-A0AD-A8CA005DE57F}">
  <sheetPr>
    <tabColor theme="6" tint="-0.249977111117893"/>
  </sheetPr>
  <dimension ref="A1:BN413"/>
  <sheetViews>
    <sheetView showGridLines="0" topLeftCell="A67" zoomScale="70" zoomScaleNormal="70" workbookViewId="0">
      <pane xSplit="1" topLeftCell="C1" activePane="topRight" state="frozen"/>
      <selection activeCell="BB80" sqref="BB80"/>
      <selection pane="topRight" activeCell="BH96" sqref="A96:XFD100"/>
    </sheetView>
  </sheetViews>
  <sheetFormatPr baseColWidth="10" defaultRowHeight="16" outlineLevelCol="1" x14ac:dyDescent="0.4"/>
  <cols>
    <col min="1" max="1" width="54.54296875" style="17" customWidth="1"/>
    <col min="2" max="2" width="54.54296875" style="17" hidden="1" customWidth="1" outlineLevel="1"/>
    <col min="3" max="3" width="2.453125" style="17" customWidth="1" collapsed="1"/>
    <col min="4" max="7" width="11.54296875" style="33" hidden="1" customWidth="1" outlineLevel="1"/>
    <col min="8" max="8" width="11.54296875" style="95" customWidth="1" collapsed="1"/>
    <col min="9" max="12" width="11.54296875" style="33" hidden="1" customWidth="1" outlineLevel="1"/>
    <col min="13" max="13" width="11.54296875" style="95" customWidth="1" collapsed="1"/>
    <col min="14" max="17" width="11.54296875" style="33" hidden="1" customWidth="1" outlineLevel="1"/>
    <col min="18" max="18" width="11.54296875" style="95" customWidth="1" collapsed="1"/>
    <col min="19" max="22" width="11.54296875" style="33" hidden="1" customWidth="1" outlineLevel="1"/>
    <col min="23" max="23" width="11.54296875" style="95" customWidth="1" collapsed="1"/>
    <col min="24" max="27" width="11.54296875" style="33" hidden="1" customWidth="1" outlineLevel="1"/>
    <col min="28" max="28" width="11.54296875" style="95" customWidth="1" collapsed="1"/>
    <col min="29" max="32" width="11.54296875" style="33" hidden="1" customWidth="1" outlineLevel="1"/>
    <col min="33" max="33" width="11.54296875" style="95" customWidth="1" collapsed="1"/>
    <col min="34" max="37" width="11.54296875" style="33" hidden="1" customWidth="1" outlineLevel="1"/>
    <col min="38" max="38" width="11.54296875" style="95" customWidth="1" collapsed="1"/>
    <col min="39" max="42" width="11.54296875" style="33" hidden="1" customWidth="1" outlineLevel="1"/>
    <col min="43" max="43" width="11.54296875" style="95" customWidth="1" collapsed="1"/>
    <col min="44" max="47" width="11.54296875" style="33" hidden="1" customWidth="1" outlineLevel="1"/>
    <col min="48" max="48" width="11.54296875" style="95" customWidth="1" collapsed="1"/>
    <col min="49" max="49" width="11.54296875" style="33" hidden="1" customWidth="1" outlineLevel="1"/>
    <col min="50" max="52" width="10.81640625" style="33" hidden="1" customWidth="1" outlineLevel="1"/>
    <col min="53" max="53" width="11.54296875" style="95" customWidth="1" collapsed="1"/>
    <col min="54" max="56" width="10.81640625" style="33" hidden="1" customWidth="1" outlineLevel="1"/>
    <col min="57" max="57" width="10.90625" hidden="1" customWidth="1" outlineLevel="1" collapsed="1"/>
    <col min="58" max="58" width="12.453125" bestFit="1" customWidth="1" collapsed="1"/>
  </cols>
  <sheetData>
    <row r="1" spans="1:62" ht="16.5" thickBot="1" x14ac:dyDescent="0.45">
      <c r="A1" s="1" t="s">
        <v>0</v>
      </c>
      <c r="B1" s="1" t="s">
        <v>1</v>
      </c>
      <c r="C1" s="2"/>
      <c r="D1" s="3" t="s">
        <v>2</v>
      </c>
      <c r="E1" s="3" t="s">
        <v>3</v>
      </c>
      <c r="F1" s="3" t="s">
        <v>4</v>
      </c>
      <c r="G1" s="3" t="s">
        <v>5</v>
      </c>
      <c r="H1" s="4">
        <v>2015</v>
      </c>
      <c r="I1" s="3" t="s">
        <v>6</v>
      </c>
      <c r="J1" s="3" t="s">
        <v>7</v>
      </c>
      <c r="K1" s="3" t="s">
        <v>8</v>
      </c>
      <c r="L1" s="3" t="s">
        <v>9</v>
      </c>
      <c r="M1" s="4">
        <v>2016</v>
      </c>
      <c r="N1" s="3" t="s">
        <v>10</v>
      </c>
      <c r="O1" s="3" t="s">
        <v>11</v>
      </c>
      <c r="P1" s="3" t="s">
        <v>12</v>
      </c>
      <c r="Q1" s="3" t="s">
        <v>13</v>
      </c>
      <c r="R1" s="4">
        <v>2017</v>
      </c>
      <c r="S1" s="3" t="s">
        <v>14</v>
      </c>
      <c r="T1" s="3" t="s">
        <v>15</v>
      </c>
      <c r="U1" s="3" t="s">
        <v>16</v>
      </c>
      <c r="V1" s="3" t="s">
        <v>17</v>
      </c>
      <c r="W1" s="4">
        <v>2018</v>
      </c>
      <c r="X1" s="3" t="s">
        <v>18</v>
      </c>
      <c r="Y1" s="3" t="s">
        <v>19</v>
      </c>
      <c r="Z1" s="3" t="s">
        <v>20</v>
      </c>
      <c r="AA1" s="3" t="s">
        <v>21</v>
      </c>
      <c r="AB1" s="4">
        <v>2019</v>
      </c>
      <c r="AC1" s="3" t="s">
        <v>22</v>
      </c>
      <c r="AD1" s="3" t="s">
        <v>23</v>
      </c>
      <c r="AE1" s="3" t="s">
        <v>24</v>
      </c>
      <c r="AF1" s="3" t="s">
        <v>25</v>
      </c>
      <c r="AG1" s="4">
        <v>2020</v>
      </c>
      <c r="AH1" s="3" t="s">
        <v>26</v>
      </c>
      <c r="AI1" s="3" t="s">
        <v>27</v>
      </c>
      <c r="AJ1" s="3" t="s">
        <v>28</v>
      </c>
      <c r="AK1" s="3" t="s">
        <v>29</v>
      </c>
      <c r="AL1" s="4">
        <v>2021</v>
      </c>
      <c r="AM1" s="3" t="s">
        <v>30</v>
      </c>
      <c r="AN1" s="3" t="s">
        <v>31</v>
      </c>
      <c r="AO1" s="3" t="s">
        <v>32</v>
      </c>
      <c r="AP1" s="3" t="s">
        <v>33</v>
      </c>
      <c r="AQ1" s="4">
        <v>2022</v>
      </c>
      <c r="AR1" s="3" t="s">
        <v>34</v>
      </c>
      <c r="AS1" s="3" t="s">
        <v>35</v>
      </c>
      <c r="AT1" s="3" t="s">
        <v>36</v>
      </c>
      <c r="AU1" s="3" t="s">
        <v>37</v>
      </c>
      <c r="AV1" s="4">
        <v>2023</v>
      </c>
      <c r="AW1" s="3" t="s">
        <v>38</v>
      </c>
      <c r="AX1" s="3" t="s">
        <v>39</v>
      </c>
      <c r="AY1" s="3" t="s">
        <v>40</v>
      </c>
      <c r="AZ1" s="3" t="s">
        <v>41</v>
      </c>
      <c r="BA1" s="4">
        <v>2024</v>
      </c>
      <c r="BB1" s="3" t="s">
        <v>42</v>
      </c>
      <c r="BC1" s="3" t="s">
        <v>383</v>
      </c>
      <c r="BD1" s="3" t="s">
        <v>384</v>
      </c>
      <c r="BE1" s="3" t="s">
        <v>385</v>
      </c>
      <c r="BF1" s="4">
        <v>2025</v>
      </c>
      <c r="BG1" s="3" t="s">
        <v>386</v>
      </c>
      <c r="BH1" s="3" t="s">
        <v>387</v>
      </c>
    </row>
    <row r="2" spans="1:62" x14ac:dyDescent="0.4">
      <c r="A2" s="5" t="s">
        <v>43</v>
      </c>
      <c r="B2" s="5" t="s">
        <v>44</v>
      </c>
      <c r="C2" s="5"/>
      <c r="D2" s="6">
        <v>749.5</v>
      </c>
      <c r="E2" s="6">
        <v>779.52866666666671</v>
      </c>
      <c r="F2" s="6">
        <v>803.69588888888893</v>
      </c>
      <c r="G2" s="6">
        <v>802.76200000000006</v>
      </c>
      <c r="H2" s="7">
        <v>782.95269696969706</v>
      </c>
      <c r="I2" s="6">
        <v>764.2553333333334</v>
      </c>
      <c r="J2" s="6">
        <v>694.95</v>
      </c>
      <c r="K2" s="6">
        <v>671.9609090909089</v>
      </c>
      <c r="L2" s="6">
        <v>655.11900000000003</v>
      </c>
      <c r="M2" s="7">
        <v>696.78958333333333</v>
      </c>
      <c r="N2" s="6">
        <v>679.39</v>
      </c>
      <c r="O2" s="6">
        <v>782.85</v>
      </c>
      <c r="P2" s="6">
        <v>872.35538461538511</v>
      </c>
      <c r="Q2" s="6">
        <v>938.5</v>
      </c>
      <c r="R2" s="8">
        <v>817.7</v>
      </c>
      <c r="S2" s="6">
        <v>1008.36</v>
      </c>
      <c r="T2" s="6">
        <v>1044.4000000000001</v>
      </c>
      <c r="U2" s="6">
        <v>1050</v>
      </c>
      <c r="V2" s="6">
        <v>1045.8498437499995</v>
      </c>
      <c r="W2" s="8">
        <v>1037.2815294117647</v>
      </c>
      <c r="X2" s="6">
        <v>994.67507936507855</v>
      </c>
      <c r="Y2" s="6">
        <v>938.59499999999991</v>
      </c>
      <c r="Z2" s="6">
        <v>816.52</v>
      </c>
      <c r="AA2" s="6">
        <v>696.68890620000002</v>
      </c>
      <c r="AB2" s="8">
        <v>860.14</v>
      </c>
      <c r="AC2" s="6">
        <v>680</v>
      </c>
      <c r="AD2" s="6">
        <v>680.35</v>
      </c>
      <c r="AE2" s="6">
        <v>680</v>
      </c>
      <c r="AF2" s="6">
        <v>680</v>
      </c>
      <c r="AG2" s="8">
        <v>680.08199999999999</v>
      </c>
      <c r="AH2" s="6">
        <v>759.87800000000004</v>
      </c>
      <c r="AI2" s="6">
        <v>998.65</v>
      </c>
      <c r="AJ2" s="6">
        <v>1136.1569999999999</v>
      </c>
      <c r="AK2" s="6">
        <v>1140</v>
      </c>
      <c r="AL2" s="8">
        <v>1010.616092</v>
      </c>
      <c r="AM2" s="6">
        <v>1150.386</v>
      </c>
      <c r="AN2" s="6">
        <v>1241.347</v>
      </c>
      <c r="AO2" s="6">
        <v>1366.3</v>
      </c>
      <c r="AP2" s="6">
        <v>1380</v>
      </c>
      <c r="AQ2" s="8">
        <v>1285</v>
      </c>
      <c r="AR2" s="6">
        <v>1338.84</v>
      </c>
      <c r="AS2" s="6">
        <v>1101.5999999999999</v>
      </c>
      <c r="AT2" s="6">
        <v>837.22</v>
      </c>
      <c r="AU2" s="6">
        <v>904.5</v>
      </c>
      <c r="AV2" s="8">
        <v>1045.5</v>
      </c>
      <c r="AW2" s="6">
        <v>1116.7</v>
      </c>
      <c r="AX2" s="6">
        <v>1350.63</v>
      </c>
      <c r="AY2" s="6">
        <v>1375.9</v>
      </c>
      <c r="AZ2" s="6">
        <v>1099.4000000000001</v>
      </c>
      <c r="BA2" s="8">
        <v>1235.7</v>
      </c>
      <c r="BB2" s="6">
        <v>1065.3</v>
      </c>
      <c r="BC2" s="6">
        <v>1177.1623076923074</v>
      </c>
      <c r="BD2" s="6">
        <v>1034.2356060606064</v>
      </c>
      <c r="BE2" s="6">
        <v>1070.015909090909</v>
      </c>
      <c r="BF2" s="184">
        <v>1086.4946360153263</v>
      </c>
      <c r="BG2" s="6">
        <v>1193.6343750000001</v>
      </c>
      <c r="BH2" s="6">
        <v>1357.678923076923</v>
      </c>
      <c r="BJ2" s="155"/>
    </row>
    <row r="3" spans="1:62" x14ac:dyDescent="0.4">
      <c r="A3" s="9" t="s">
        <v>45</v>
      </c>
      <c r="B3" s="9" t="s">
        <v>46</v>
      </c>
      <c r="C3" s="9"/>
      <c r="D3" s="10">
        <v>1.1293627998131253</v>
      </c>
      <c r="E3" s="10">
        <v>1.1004406306231698</v>
      </c>
      <c r="F3" s="6">
        <v>1.112903347404774</v>
      </c>
      <c r="G3" s="10">
        <v>1.0999753357084134</v>
      </c>
      <c r="H3" s="11">
        <v>1.1094354943786306</v>
      </c>
      <c r="I3" s="10">
        <v>1.1017815522852656</v>
      </c>
      <c r="J3" s="10">
        <v>1.1291952754286581</v>
      </c>
      <c r="K3" s="10">
        <v>1.1158335964655162</v>
      </c>
      <c r="L3" s="10">
        <v>1.0836628760978018</v>
      </c>
      <c r="M3" s="11">
        <v>1.1072144009940925</v>
      </c>
      <c r="N3" s="10">
        <v>1.0617459523660686</v>
      </c>
      <c r="O3" s="10">
        <v>1.0978893485730314</v>
      </c>
      <c r="P3" s="10">
        <v>1.1697257689701304</v>
      </c>
      <c r="Q3" s="10">
        <v>1.1768025078369906</v>
      </c>
      <c r="R3" s="12">
        <v>1.1300442233278054</v>
      </c>
      <c r="S3" s="10">
        <v>1.2251220736050077</v>
      </c>
      <c r="T3" s="10">
        <v>1.1973068987667719</v>
      </c>
      <c r="U3" s="10">
        <v>1.1621167313478982</v>
      </c>
      <c r="V3" s="10">
        <v>1.1441316459937083</v>
      </c>
      <c r="W3" s="12">
        <v>1.1806335451738761</v>
      </c>
      <c r="X3" s="10">
        <v>1.1371265296612323</v>
      </c>
      <c r="Y3" s="10">
        <v>1.1228031755672878</v>
      </c>
      <c r="Z3" s="10">
        <v>1.1160209667388794</v>
      </c>
      <c r="AA3" s="10">
        <v>1.1051502155767272</v>
      </c>
      <c r="AB3" s="12">
        <v>1.1215218921949566</v>
      </c>
      <c r="AC3" s="10">
        <v>1.1020000000000001</v>
      </c>
      <c r="AD3" s="10">
        <v>1.0978823385127798</v>
      </c>
      <c r="AE3" s="10">
        <v>1.1642932431300081</v>
      </c>
      <c r="AF3" s="10">
        <v>1.1881797086862926</v>
      </c>
      <c r="AG3" s="12">
        <v>1.1215441518540326</v>
      </c>
      <c r="AH3" s="10">
        <v>1.2083305505465394</v>
      </c>
      <c r="AI3" s="10">
        <v>1.2046586810456097</v>
      </c>
      <c r="AJ3" s="10">
        <v>1.1808620764918274</v>
      </c>
      <c r="AK3" s="10">
        <v>1.1466471133158922</v>
      </c>
      <c r="AL3" s="12">
        <v>1.1815017089781241</v>
      </c>
      <c r="AM3" s="10">
        <v>1.1238222143201155</v>
      </c>
      <c r="AN3" s="10">
        <v>1.0695504577275174</v>
      </c>
      <c r="AO3" s="10">
        <v>1.013801291088521</v>
      </c>
      <c r="AP3" s="10">
        <v>1.0112853583467682</v>
      </c>
      <c r="AQ3" s="12">
        <v>1.0486371796964256</v>
      </c>
      <c r="AR3" s="10">
        <v>1.0712262565809476</v>
      </c>
      <c r="AS3" s="10">
        <v>1.088429997035866</v>
      </c>
      <c r="AT3" s="10">
        <v>1.0915514993481095</v>
      </c>
      <c r="AU3" s="10">
        <v>1.0724448660184966</v>
      </c>
      <c r="AV3" s="12">
        <v>1.0799504183452122</v>
      </c>
      <c r="AW3" s="10">
        <v>1.0876594915749489</v>
      </c>
      <c r="AX3" s="10">
        <v>1.077908396581033</v>
      </c>
      <c r="AY3" s="10">
        <v>1.093459429388858</v>
      </c>
      <c r="AZ3" s="10">
        <v>1.075523380943064</v>
      </c>
      <c r="BA3" s="12">
        <v>1.0838522936584511</v>
      </c>
      <c r="BB3" s="10">
        <v>1.0491391587553289</v>
      </c>
      <c r="BC3" s="10">
        <v>1.1259555801465952</v>
      </c>
      <c r="BD3" s="10">
        <v>1.1670232214532628</v>
      </c>
      <c r="BE3" s="10">
        <v>1.1636103811879517</v>
      </c>
      <c r="BF3" s="185">
        <v>1.1247464437876071</v>
      </c>
      <c r="BG3" s="10">
        <v>1.1738512548439588</v>
      </c>
      <c r="BH3" s="10">
        <v>1.1643661906418084</v>
      </c>
      <c r="BJ3" s="155"/>
    </row>
    <row r="4" spans="1:62" x14ac:dyDescent="0.4">
      <c r="A4" s="13" t="s">
        <v>47</v>
      </c>
      <c r="B4" s="13" t="s">
        <v>48</v>
      </c>
      <c r="C4" s="9"/>
      <c r="D4" s="14">
        <v>663.64856370691439</v>
      </c>
      <c r="E4" s="14">
        <v>708.37866666666662</v>
      </c>
      <c r="F4" s="14">
        <v>722.16144444444444</v>
      </c>
      <c r="G4" s="14">
        <v>729.8</v>
      </c>
      <c r="H4" s="15">
        <v>705.72169444444444</v>
      </c>
      <c r="I4" s="14">
        <v>695.1</v>
      </c>
      <c r="J4" s="14">
        <v>614.69399999999996</v>
      </c>
      <c r="K4" s="14">
        <v>602.20530303030296</v>
      </c>
      <c r="L4" s="14">
        <v>604.54133333333345</v>
      </c>
      <c r="M4" s="15">
        <v>629.3176666666667</v>
      </c>
      <c r="N4" s="14">
        <v>639.88</v>
      </c>
      <c r="O4" s="14">
        <v>713.05</v>
      </c>
      <c r="P4" s="14">
        <v>745.77769230769263</v>
      </c>
      <c r="Q4" s="14">
        <v>797.5</v>
      </c>
      <c r="R4" s="16">
        <v>723.6</v>
      </c>
      <c r="S4" s="14">
        <v>823.07</v>
      </c>
      <c r="T4" s="14">
        <v>872.27</v>
      </c>
      <c r="U4" s="14">
        <v>903.52369230769284</v>
      </c>
      <c r="V4" s="14">
        <v>914.0992187499993</v>
      </c>
      <c r="W4" s="16">
        <v>878.58043137254811</v>
      </c>
      <c r="X4" s="14">
        <v>874.72682539682523</v>
      </c>
      <c r="Y4" s="14">
        <v>835.93903225806423</v>
      </c>
      <c r="Z4" s="14">
        <v>731.63499999999999</v>
      </c>
      <c r="AA4" s="14">
        <v>630.40200000000004</v>
      </c>
      <c r="AB4" s="16">
        <v>766.94</v>
      </c>
      <c r="AC4" s="14">
        <v>617.05989110707799</v>
      </c>
      <c r="AD4" s="14">
        <v>619.69299999999998</v>
      </c>
      <c r="AE4" s="14">
        <v>584.0453030303031</v>
      </c>
      <c r="AF4" s="14">
        <v>572.30399999999997</v>
      </c>
      <c r="AG4" s="16">
        <v>606.38005099999998</v>
      </c>
      <c r="AH4" s="14">
        <v>628.86599999999999</v>
      </c>
      <c r="AI4" s="14">
        <v>828.99</v>
      </c>
      <c r="AJ4" s="14">
        <v>962.14200000000005</v>
      </c>
      <c r="AK4" s="14">
        <v>994.20299999999997</v>
      </c>
      <c r="AL4" s="16">
        <v>855.36574710000002</v>
      </c>
      <c r="AM4" s="14">
        <v>1023.6369999999999</v>
      </c>
      <c r="AN4" s="14">
        <v>1160.625</v>
      </c>
      <c r="AO4" s="14">
        <v>1347.7</v>
      </c>
      <c r="AP4" s="14">
        <v>1364.6</v>
      </c>
      <c r="AQ4" s="16">
        <v>1225.4000000000001</v>
      </c>
      <c r="AR4" s="14">
        <v>1249.82</v>
      </c>
      <c r="AS4" s="14">
        <v>1012.1</v>
      </c>
      <c r="AT4" s="14">
        <v>767</v>
      </c>
      <c r="AU4" s="14">
        <v>843.4</v>
      </c>
      <c r="AV4" s="16">
        <v>968.1</v>
      </c>
      <c r="AW4" s="14">
        <v>1026.7</v>
      </c>
      <c r="AX4" s="14">
        <v>1253.01</v>
      </c>
      <c r="AY4" s="14">
        <v>1258.3</v>
      </c>
      <c r="AZ4" s="14">
        <v>1022.2</v>
      </c>
      <c r="BA4" s="16">
        <v>1140.0999999999999</v>
      </c>
      <c r="BB4" s="14">
        <v>1015.4039062500001</v>
      </c>
      <c r="BC4" s="14">
        <v>1045.4784615384608</v>
      </c>
      <c r="BD4" s="14">
        <v>886.21681818181855</v>
      </c>
      <c r="BE4" s="14">
        <v>919.56545454545505</v>
      </c>
      <c r="BF4" s="186">
        <v>965.99072796934831</v>
      </c>
      <c r="BG4" s="14">
        <v>1016.853174603175</v>
      </c>
      <c r="BH4" s="14">
        <v>1166.0239999999992</v>
      </c>
      <c r="BJ4" s="155"/>
    </row>
    <row r="5" spans="1:62" ht="16.5" thickBot="1" x14ac:dyDescent="0.45"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19"/>
      <c r="AY5" s="19"/>
      <c r="AZ5" s="19"/>
      <c r="BA5" s="18"/>
      <c r="BB5" s="19"/>
      <c r="BC5" s="19"/>
      <c r="BD5" s="19"/>
      <c r="BF5" s="18"/>
      <c r="BJ5" s="155"/>
    </row>
    <row r="6" spans="1:62" ht="16.5" thickBot="1" x14ac:dyDescent="0.45">
      <c r="A6" s="1" t="s">
        <v>49</v>
      </c>
      <c r="B6" s="1" t="s">
        <v>50</v>
      </c>
      <c r="C6" s="2"/>
      <c r="D6" s="3" t="str">
        <f>D1</f>
        <v>1T15</v>
      </c>
      <c r="E6" s="3" t="str">
        <f>E1</f>
        <v>2T15</v>
      </c>
      <c r="F6" s="3" t="str">
        <f>F1</f>
        <v>3T15</v>
      </c>
      <c r="G6" s="3" t="str">
        <f>G1</f>
        <v>4T15</v>
      </c>
      <c r="H6" s="4">
        <f>H1</f>
        <v>2015</v>
      </c>
      <c r="I6" s="3" t="str">
        <f t="shared" ref="I6:AT6" si="0">I1</f>
        <v>1T16</v>
      </c>
      <c r="J6" s="3" t="str">
        <f t="shared" si="0"/>
        <v>2T16</v>
      </c>
      <c r="K6" s="3" t="str">
        <f t="shared" si="0"/>
        <v>3T16</v>
      </c>
      <c r="L6" s="3" t="str">
        <f t="shared" si="0"/>
        <v>4T16</v>
      </c>
      <c r="M6" s="4">
        <f t="shared" si="0"/>
        <v>2016</v>
      </c>
      <c r="N6" s="3" t="str">
        <f t="shared" si="0"/>
        <v>1T17</v>
      </c>
      <c r="O6" s="3" t="str">
        <f t="shared" si="0"/>
        <v>2T17</v>
      </c>
      <c r="P6" s="3" t="str">
        <f t="shared" si="0"/>
        <v>3T17</v>
      </c>
      <c r="Q6" s="3" t="str">
        <f t="shared" si="0"/>
        <v>4T17</v>
      </c>
      <c r="R6" s="4">
        <f t="shared" si="0"/>
        <v>2017</v>
      </c>
      <c r="S6" s="3" t="str">
        <f t="shared" si="0"/>
        <v>1T18</v>
      </c>
      <c r="T6" s="3" t="str">
        <f t="shared" si="0"/>
        <v>2T18</v>
      </c>
      <c r="U6" s="3" t="str">
        <f t="shared" si="0"/>
        <v>3T18</v>
      </c>
      <c r="V6" s="3" t="str">
        <f t="shared" si="0"/>
        <v>4T18</v>
      </c>
      <c r="W6" s="4">
        <f t="shared" si="0"/>
        <v>2018</v>
      </c>
      <c r="X6" s="3" t="str">
        <f t="shared" si="0"/>
        <v>1T19</v>
      </c>
      <c r="Y6" s="3" t="str">
        <f t="shared" si="0"/>
        <v>2T19</v>
      </c>
      <c r="Z6" s="3" t="str">
        <f t="shared" si="0"/>
        <v>3T19</v>
      </c>
      <c r="AA6" s="3" t="str">
        <f t="shared" si="0"/>
        <v>4T19</v>
      </c>
      <c r="AB6" s="4">
        <f t="shared" si="0"/>
        <v>2019</v>
      </c>
      <c r="AC6" s="3" t="str">
        <f t="shared" si="0"/>
        <v>1T20</v>
      </c>
      <c r="AD6" s="3" t="str">
        <f t="shared" si="0"/>
        <v>2T20</v>
      </c>
      <c r="AE6" s="3" t="str">
        <f t="shared" si="0"/>
        <v>3T20</v>
      </c>
      <c r="AF6" s="3" t="str">
        <f t="shared" si="0"/>
        <v>4T20</v>
      </c>
      <c r="AG6" s="4">
        <f t="shared" si="0"/>
        <v>2020</v>
      </c>
      <c r="AH6" s="3" t="str">
        <f t="shared" si="0"/>
        <v>1T21</v>
      </c>
      <c r="AI6" s="3" t="str">
        <f t="shared" si="0"/>
        <v>2T21</v>
      </c>
      <c r="AJ6" s="3" t="str">
        <f t="shared" si="0"/>
        <v>3T21</v>
      </c>
      <c r="AK6" s="3" t="str">
        <f t="shared" si="0"/>
        <v>4T21</v>
      </c>
      <c r="AL6" s="4">
        <f t="shared" si="0"/>
        <v>2021</v>
      </c>
      <c r="AM6" s="3" t="str">
        <f t="shared" si="0"/>
        <v>1T22</v>
      </c>
      <c r="AN6" s="3" t="str">
        <f t="shared" si="0"/>
        <v>2T22</v>
      </c>
      <c r="AO6" s="3" t="str">
        <f t="shared" si="0"/>
        <v>3T22</v>
      </c>
      <c r="AP6" s="3" t="str">
        <f t="shared" si="0"/>
        <v>4T22</v>
      </c>
      <c r="AQ6" s="4">
        <f t="shared" si="0"/>
        <v>2022</v>
      </c>
      <c r="AR6" s="3" t="str">
        <f t="shared" si="0"/>
        <v>1T23</v>
      </c>
      <c r="AS6" s="3" t="str">
        <f t="shared" si="0"/>
        <v>2T23</v>
      </c>
      <c r="AT6" s="3" t="str">
        <f t="shared" si="0"/>
        <v>3T23</v>
      </c>
      <c r="AU6" s="3" t="s">
        <v>37</v>
      </c>
      <c r="AV6" s="4">
        <v>2023</v>
      </c>
      <c r="AW6" s="3" t="str">
        <f>AW1</f>
        <v>1T24</v>
      </c>
      <c r="AX6" s="3" t="str">
        <f t="shared" ref="AX6:BB6" si="1">AX1</f>
        <v>2T24</v>
      </c>
      <c r="AY6" s="3" t="str">
        <f t="shared" si="1"/>
        <v>3T24</v>
      </c>
      <c r="AZ6" s="3" t="str">
        <f t="shared" si="1"/>
        <v>4T24</v>
      </c>
      <c r="BA6" s="4">
        <f t="shared" si="1"/>
        <v>2024</v>
      </c>
      <c r="BB6" s="3" t="str">
        <f t="shared" si="1"/>
        <v>1T25</v>
      </c>
      <c r="BC6" s="3" t="s">
        <v>383</v>
      </c>
      <c r="BD6" s="3" t="s">
        <v>384</v>
      </c>
      <c r="BE6" s="3" t="s">
        <v>385</v>
      </c>
      <c r="BF6" s="4">
        <v>2025</v>
      </c>
      <c r="BG6" s="3" t="s">
        <v>386</v>
      </c>
      <c r="BH6" s="3" t="s">
        <v>387</v>
      </c>
      <c r="BJ6" s="155"/>
    </row>
    <row r="7" spans="1:62" s="17" customFormat="1" ht="16.5" customHeight="1" x14ac:dyDescent="0.4">
      <c r="A7" s="20" t="s">
        <v>51</v>
      </c>
      <c r="B7" s="20" t="s">
        <v>52</v>
      </c>
      <c r="C7" s="21"/>
      <c r="D7" s="22">
        <v>220397.40499999994</v>
      </c>
      <c r="E7" s="22">
        <v>211369.52900000001</v>
      </c>
      <c r="F7" s="22">
        <v>220622.54199999999</v>
      </c>
      <c r="G7" s="22">
        <v>232890.55799999999</v>
      </c>
      <c r="H7" s="23">
        <v>885280.03399999999</v>
      </c>
      <c r="I7" s="22">
        <v>217503.53400000001</v>
      </c>
      <c r="J7" s="22">
        <v>231139.94000000006</v>
      </c>
      <c r="K7" s="22">
        <v>215235.79500000001</v>
      </c>
      <c r="L7" s="22">
        <v>259528.61900000001</v>
      </c>
      <c r="M7" s="23">
        <v>923407.88800000004</v>
      </c>
      <c r="N7" s="22">
        <v>246138.712</v>
      </c>
      <c r="O7" s="22">
        <v>234727.731</v>
      </c>
      <c r="P7" s="22">
        <v>239034.264</v>
      </c>
      <c r="Q7" s="22">
        <v>255401.38</v>
      </c>
      <c r="R7" s="24">
        <v>975302.08700000006</v>
      </c>
      <c r="S7" s="22">
        <v>232735.133</v>
      </c>
      <c r="T7" s="22">
        <v>230386.272</v>
      </c>
      <c r="U7" s="22">
        <v>237615.43100000001</v>
      </c>
      <c r="V7" s="22">
        <v>246728.834</v>
      </c>
      <c r="W7" s="24">
        <v>947465.67</v>
      </c>
      <c r="X7" s="22">
        <v>219104.32</v>
      </c>
      <c r="Y7" s="22">
        <v>218845.693</v>
      </c>
      <c r="Z7" s="22">
        <v>266356.29200000002</v>
      </c>
      <c r="AA7" s="22">
        <v>206193</v>
      </c>
      <c r="AB7" s="24">
        <v>910499</v>
      </c>
      <c r="AC7" s="22">
        <v>273236.20199999999</v>
      </c>
      <c r="AD7" s="22">
        <v>246584</v>
      </c>
      <c r="AE7" s="22">
        <v>236437.78099999999</v>
      </c>
      <c r="AF7" s="22">
        <v>259223.81200000001</v>
      </c>
      <c r="AG7" s="24">
        <v>1015481.892</v>
      </c>
      <c r="AH7" s="22">
        <v>246157.035</v>
      </c>
      <c r="AI7" s="22">
        <v>251609.91399999999</v>
      </c>
      <c r="AJ7" s="22">
        <v>259229.50700000001</v>
      </c>
      <c r="AK7" s="22">
        <v>239061.07500000001</v>
      </c>
      <c r="AL7" s="24">
        <v>996057.53099999996</v>
      </c>
      <c r="AM7" s="22">
        <v>199459.22200000001</v>
      </c>
      <c r="AN7" s="22">
        <v>287599.78999999998</v>
      </c>
      <c r="AO7" s="22">
        <v>189213.94500000001</v>
      </c>
      <c r="AP7" s="22">
        <v>150345</v>
      </c>
      <c r="AQ7" s="24">
        <v>826617</v>
      </c>
      <c r="AR7" s="22">
        <v>216617.96599999999</v>
      </c>
      <c r="AS7" s="22">
        <v>244875.329</v>
      </c>
      <c r="AT7" s="22">
        <v>243926.39999999999</v>
      </c>
      <c r="AU7" s="22">
        <v>273081.55900000001</v>
      </c>
      <c r="AV7" s="24">
        <v>978501</v>
      </c>
      <c r="AW7" s="22">
        <v>242726</v>
      </c>
      <c r="AX7" s="22">
        <v>255847.451</v>
      </c>
      <c r="AY7" s="22">
        <v>233833.27900000001</v>
      </c>
      <c r="AZ7" s="22">
        <v>235221</v>
      </c>
      <c r="BA7" s="24">
        <v>967628</v>
      </c>
      <c r="BB7" s="22">
        <v>216015.64799999999</v>
      </c>
      <c r="BC7" s="22">
        <v>242709.81400000001</v>
      </c>
      <c r="BD7" s="22">
        <v>263328.82000000007</v>
      </c>
      <c r="BE7" s="22">
        <v>244503.30200000224</v>
      </c>
      <c r="BF7" s="187">
        <v>966557.58400000236</v>
      </c>
      <c r="BG7" s="22">
        <v>206820.09800000003</v>
      </c>
      <c r="BH7" s="22">
        <v>247174.61099999995</v>
      </c>
      <c r="BJ7" s="155"/>
    </row>
    <row r="8" spans="1:62" s="17" customFormat="1" ht="15.65" customHeight="1" x14ac:dyDescent="0.4">
      <c r="A8" s="25" t="s">
        <v>53</v>
      </c>
      <c r="B8" s="25" t="s">
        <v>54</v>
      </c>
      <c r="D8" s="26">
        <v>505.16928726996593</v>
      </c>
      <c r="E8" s="26">
        <v>553.90197704419359</v>
      </c>
      <c r="F8" s="26">
        <v>559.97904330193057</v>
      </c>
      <c r="G8" s="26">
        <v>562.976881183822</v>
      </c>
      <c r="H8" s="27">
        <v>545.67140503250073</v>
      </c>
      <c r="I8" s="26">
        <v>512.03765728238693</v>
      </c>
      <c r="J8" s="26">
        <v>459.78206968471125</v>
      </c>
      <c r="K8" s="26">
        <v>451.60703868982381</v>
      </c>
      <c r="L8" s="26">
        <v>439.26947416924372</v>
      </c>
      <c r="M8" s="27">
        <v>464.41990107842787</v>
      </c>
      <c r="N8" s="26">
        <v>465.65612970299446</v>
      </c>
      <c r="O8" s="26">
        <v>520.62872792818837</v>
      </c>
      <c r="P8" s="26">
        <v>543.18990853963942</v>
      </c>
      <c r="Q8" s="26">
        <v>581.51995889763771</v>
      </c>
      <c r="R8" s="28">
        <v>528.23018310633427</v>
      </c>
      <c r="S8" s="26">
        <v>601.44765509038984</v>
      </c>
      <c r="T8" s="26">
        <v>634.4562057933731</v>
      </c>
      <c r="U8" s="26">
        <v>659.88559471964584</v>
      </c>
      <c r="V8" s="26">
        <v>643.60941291523318</v>
      </c>
      <c r="W8" s="28">
        <v>635.10902722206288</v>
      </c>
      <c r="X8" s="26">
        <v>604.88081659001523</v>
      </c>
      <c r="Y8" s="26">
        <v>575.83952543219573</v>
      </c>
      <c r="Z8" s="26">
        <v>481.94093346216124</v>
      </c>
      <c r="AA8" s="26">
        <v>432.16307052130759</v>
      </c>
      <c r="AB8" s="28">
        <v>522.82210084799658</v>
      </c>
      <c r="AC8" s="26">
        <v>418.19495060907053</v>
      </c>
      <c r="AD8" s="26">
        <v>416.79914349673942</v>
      </c>
      <c r="AE8" s="26">
        <v>383.64004101358074</v>
      </c>
      <c r="AF8" s="26">
        <v>384.43613351384545</v>
      </c>
      <c r="AG8" s="28">
        <v>401.19277675903646</v>
      </c>
      <c r="AH8" s="26">
        <v>403.7382071976939</v>
      </c>
      <c r="AI8" s="26">
        <v>525.48008899204194</v>
      </c>
      <c r="AJ8" s="26">
        <v>613.26352019023818</v>
      </c>
      <c r="AK8" s="26">
        <v>644.15756517450609</v>
      </c>
      <c r="AL8" s="28">
        <v>546.72344021461947</v>
      </c>
      <c r="AM8" s="26">
        <v>650.62421631224436</v>
      </c>
      <c r="AN8" s="26">
        <v>723.88091799371625</v>
      </c>
      <c r="AO8" s="26">
        <v>832.60776577540298</v>
      </c>
      <c r="AP8" s="26">
        <v>864.50497189796795</v>
      </c>
      <c r="AQ8" s="28">
        <v>756.66965474941833</v>
      </c>
      <c r="AR8" s="26">
        <v>762.44830034088682</v>
      </c>
      <c r="AS8" s="26">
        <v>577.68579863755883</v>
      </c>
      <c r="AT8" s="26">
        <v>477.02503706035935</v>
      </c>
      <c r="AU8" s="26">
        <v>522.23592293172726</v>
      </c>
      <c r="AV8" s="28">
        <v>578.01984872779894</v>
      </c>
      <c r="AW8" s="26">
        <v>600.903899870636</v>
      </c>
      <c r="AX8" s="26">
        <v>727.99240044021394</v>
      </c>
      <c r="AY8" s="26">
        <v>678.65874643104155</v>
      </c>
      <c r="AZ8" s="26">
        <v>575.71815441648516</v>
      </c>
      <c r="BA8" s="28">
        <v>647.17432732413704</v>
      </c>
      <c r="BB8" s="26">
        <v>558.16789717011613</v>
      </c>
      <c r="BC8" s="26">
        <v>541.63446394466757</v>
      </c>
      <c r="BD8" s="26">
        <v>451.95584744579031</v>
      </c>
      <c r="BE8" s="26">
        <v>471.36786725276596</v>
      </c>
      <c r="BF8" s="188">
        <v>503.1226365091548</v>
      </c>
      <c r="BG8" s="26">
        <v>495.21299424198128</v>
      </c>
      <c r="BH8" s="26">
        <v>557.84855670309935</v>
      </c>
      <c r="BJ8" s="155"/>
    </row>
    <row r="9" spans="1:62" s="17" customFormat="1" ht="16.5" customHeight="1" x14ac:dyDescent="0.4">
      <c r="A9" s="29" t="s">
        <v>55</v>
      </c>
      <c r="B9" s="29" t="s">
        <v>56</v>
      </c>
      <c r="C9" s="30"/>
      <c r="D9" s="31">
        <v>111.33799999999999</v>
      </c>
      <c r="E9" s="31">
        <v>117.078</v>
      </c>
      <c r="F9" s="31">
        <v>123.544</v>
      </c>
      <c r="G9" s="31">
        <v>131.11199999999999</v>
      </c>
      <c r="H9" s="32">
        <v>483.072</v>
      </c>
      <c r="I9" s="31">
        <v>111.37</v>
      </c>
      <c r="J9" s="31">
        <v>106.274</v>
      </c>
      <c r="K9" s="31">
        <v>97.201999999999998</v>
      </c>
      <c r="L9" s="31">
        <v>114.003</v>
      </c>
      <c r="M9" s="211">
        <v>428.84899999999999</v>
      </c>
      <c r="N9" s="31">
        <v>114.616</v>
      </c>
      <c r="O9" s="31">
        <v>122.206</v>
      </c>
      <c r="P9" s="31">
        <v>129.84100000000001</v>
      </c>
      <c r="Q9" s="31">
        <v>148.52099999999996</v>
      </c>
      <c r="R9" s="164">
        <v>515.18399999999997</v>
      </c>
      <c r="S9" s="31">
        <v>139.97800000000001</v>
      </c>
      <c r="T9" s="31">
        <v>146.17000000000002</v>
      </c>
      <c r="U9" s="31">
        <v>156.79899999999998</v>
      </c>
      <c r="V9" s="31">
        <v>158.79700000000003</v>
      </c>
      <c r="W9" s="164">
        <v>601.74400000000003</v>
      </c>
      <c r="X9" s="31">
        <v>132.53200000000001</v>
      </c>
      <c r="Y9" s="31">
        <v>126.02000000000001</v>
      </c>
      <c r="Z9" s="31">
        <v>128.36799999999999</v>
      </c>
      <c r="AA9" s="31">
        <v>89.10899999999998</v>
      </c>
      <c r="AB9" s="164">
        <v>476.029</v>
      </c>
      <c r="AC9" s="31">
        <v>114.26600000000001</v>
      </c>
      <c r="AD9" s="31">
        <v>102.776</v>
      </c>
      <c r="AE9" s="31">
        <v>90.707000000000022</v>
      </c>
      <c r="AF9" s="31">
        <v>99.654999999999973</v>
      </c>
      <c r="AG9" s="164">
        <v>407.404</v>
      </c>
      <c r="AH9" s="31">
        <v>99.382999999999996</v>
      </c>
      <c r="AI9" s="31">
        <v>132.21600000000001</v>
      </c>
      <c r="AJ9" s="31">
        <v>158.976</v>
      </c>
      <c r="AK9" s="31">
        <v>153.99299999999999</v>
      </c>
      <c r="AL9" s="164">
        <v>544.56799999999998</v>
      </c>
      <c r="AM9" s="31">
        <v>129.773</v>
      </c>
      <c r="AN9" s="31">
        <v>208.18800000000002</v>
      </c>
      <c r="AO9" s="31">
        <v>157.541</v>
      </c>
      <c r="AP9" s="31">
        <v>129.97399999999999</v>
      </c>
      <c r="AQ9" s="164">
        <v>625.476</v>
      </c>
      <c r="AR9" s="31">
        <v>165.16</v>
      </c>
      <c r="AS9" s="31">
        <v>141.46099999999998</v>
      </c>
      <c r="AT9" s="31">
        <v>116.35900000000004</v>
      </c>
      <c r="AU9" s="31">
        <v>142.61299999999994</v>
      </c>
      <c r="AV9" s="164">
        <v>565.59299999999996</v>
      </c>
      <c r="AW9" s="31">
        <v>145.85499999999999</v>
      </c>
      <c r="AX9" s="31">
        <v>186.25500000000002</v>
      </c>
      <c r="AY9" s="31">
        <v>158.69299999999998</v>
      </c>
      <c r="AZ9" s="31">
        <v>135.42100000000005</v>
      </c>
      <c r="BA9" s="164">
        <v>626.22400000000005</v>
      </c>
      <c r="BB9" s="31">
        <v>120.57299999999999</v>
      </c>
      <c r="BC9" s="31">
        <v>131.45999999999998</v>
      </c>
      <c r="BD9" s="31">
        <v>119.01300000000001</v>
      </c>
      <c r="BE9" s="31">
        <v>115.251</v>
      </c>
      <c r="BF9" s="164">
        <v>486.29700000000003</v>
      </c>
      <c r="BG9" s="31">
        <v>102.42</v>
      </c>
      <c r="BH9" s="31">
        <v>137.886</v>
      </c>
      <c r="BJ9" s="155"/>
    </row>
    <row r="10" spans="1:62" s="17" customFormat="1" ht="16.5" thickBot="1" x14ac:dyDescent="0.45"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4"/>
      <c r="AP10" s="35"/>
      <c r="AQ10" s="35"/>
      <c r="AR10" s="33"/>
      <c r="AS10" s="33"/>
      <c r="AT10" s="33"/>
      <c r="AU10" s="33"/>
      <c r="AV10" s="35"/>
      <c r="AW10" s="33"/>
      <c r="AX10" s="33"/>
      <c r="AY10" s="33"/>
      <c r="AZ10" s="33"/>
      <c r="BA10" s="35"/>
      <c r="BB10" s="33"/>
      <c r="BC10" s="33"/>
      <c r="BD10" s="33"/>
      <c r="BE10" s="68"/>
      <c r="BF10" s="35"/>
      <c r="BG10" s="68"/>
      <c r="BH10" s="68"/>
      <c r="BJ10" s="155"/>
    </row>
    <row r="11" spans="1:62" ht="16.5" thickBot="1" x14ac:dyDescent="0.45">
      <c r="A11" s="1" t="s">
        <v>57</v>
      </c>
      <c r="B11" s="1" t="s">
        <v>58</v>
      </c>
      <c r="C11" s="2"/>
      <c r="D11" s="3" t="str">
        <f>D6</f>
        <v>1T15</v>
      </c>
      <c r="E11" s="3" t="str">
        <f>E6</f>
        <v>2T15</v>
      </c>
      <c r="F11" s="3" t="str">
        <f>F6</f>
        <v>3T15</v>
      </c>
      <c r="G11" s="3" t="str">
        <f>G6</f>
        <v>4T15</v>
      </c>
      <c r="H11" s="4">
        <f>H6</f>
        <v>2015</v>
      </c>
      <c r="I11" s="3" t="str">
        <f t="shared" ref="I11:AT11" si="2">I6</f>
        <v>1T16</v>
      </c>
      <c r="J11" s="3" t="str">
        <f t="shared" si="2"/>
        <v>2T16</v>
      </c>
      <c r="K11" s="3" t="str">
        <f t="shared" si="2"/>
        <v>3T16</v>
      </c>
      <c r="L11" s="3" t="str">
        <f t="shared" si="2"/>
        <v>4T16</v>
      </c>
      <c r="M11" s="4">
        <f t="shared" si="2"/>
        <v>2016</v>
      </c>
      <c r="N11" s="3" t="str">
        <f t="shared" si="2"/>
        <v>1T17</v>
      </c>
      <c r="O11" s="3" t="str">
        <f t="shared" si="2"/>
        <v>2T17</v>
      </c>
      <c r="P11" s="3" t="str">
        <f t="shared" si="2"/>
        <v>3T17</v>
      </c>
      <c r="Q11" s="3" t="str">
        <f t="shared" si="2"/>
        <v>4T17</v>
      </c>
      <c r="R11" s="4">
        <f t="shared" si="2"/>
        <v>2017</v>
      </c>
      <c r="S11" s="3" t="str">
        <f t="shared" si="2"/>
        <v>1T18</v>
      </c>
      <c r="T11" s="3" t="str">
        <f t="shared" si="2"/>
        <v>2T18</v>
      </c>
      <c r="U11" s="3" t="str">
        <f t="shared" si="2"/>
        <v>3T18</v>
      </c>
      <c r="V11" s="3" t="str">
        <f t="shared" si="2"/>
        <v>4T18</v>
      </c>
      <c r="W11" s="4">
        <f t="shared" si="2"/>
        <v>2018</v>
      </c>
      <c r="X11" s="3" t="str">
        <f t="shared" si="2"/>
        <v>1T19</v>
      </c>
      <c r="Y11" s="3" t="str">
        <f t="shared" si="2"/>
        <v>2T19</v>
      </c>
      <c r="Z11" s="3" t="str">
        <f t="shared" si="2"/>
        <v>3T19</v>
      </c>
      <c r="AA11" s="3" t="str">
        <f t="shared" si="2"/>
        <v>4T19</v>
      </c>
      <c r="AB11" s="4">
        <f t="shared" si="2"/>
        <v>2019</v>
      </c>
      <c r="AC11" s="3" t="str">
        <f t="shared" si="2"/>
        <v>1T20</v>
      </c>
      <c r="AD11" s="3" t="str">
        <f t="shared" si="2"/>
        <v>2T20</v>
      </c>
      <c r="AE11" s="3" t="str">
        <f t="shared" si="2"/>
        <v>3T20</v>
      </c>
      <c r="AF11" s="3" t="str">
        <f t="shared" si="2"/>
        <v>4T20</v>
      </c>
      <c r="AG11" s="4">
        <f t="shared" si="2"/>
        <v>2020</v>
      </c>
      <c r="AH11" s="3" t="str">
        <f t="shared" si="2"/>
        <v>1T21</v>
      </c>
      <c r="AI11" s="3" t="str">
        <f t="shared" si="2"/>
        <v>2T21</v>
      </c>
      <c r="AJ11" s="3" t="str">
        <f t="shared" si="2"/>
        <v>3T21</v>
      </c>
      <c r="AK11" s="3" t="str">
        <f t="shared" si="2"/>
        <v>4T21</v>
      </c>
      <c r="AL11" s="4">
        <f t="shared" si="2"/>
        <v>2021</v>
      </c>
      <c r="AM11" s="3" t="str">
        <f t="shared" si="2"/>
        <v>1T22</v>
      </c>
      <c r="AN11" s="3" t="str">
        <f t="shared" si="2"/>
        <v>2T22</v>
      </c>
      <c r="AO11" s="3" t="str">
        <f t="shared" si="2"/>
        <v>3T22</v>
      </c>
      <c r="AP11" s="3" t="str">
        <f t="shared" si="2"/>
        <v>4T22</v>
      </c>
      <c r="AQ11" s="4">
        <f t="shared" si="2"/>
        <v>2022</v>
      </c>
      <c r="AR11" s="3" t="str">
        <f t="shared" si="2"/>
        <v>1T23</v>
      </c>
      <c r="AS11" s="3" t="str">
        <f t="shared" si="2"/>
        <v>2T23</v>
      </c>
      <c r="AT11" s="3" t="str">
        <f t="shared" si="2"/>
        <v>3T23</v>
      </c>
      <c r="AU11" s="3" t="s">
        <v>37</v>
      </c>
      <c r="AV11" s="4">
        <v>2023</v>
      </c>
      <c r="AW11" s="3" t="str">
        <f>AW6</f>
        <v>1T24</v>
      </c>
      <c r="AX11" s="3" t="str">
        <f t="shared" ref="AX11:BB11" si="3">AX6</f>
        <v>2T24</v>
      </c>
      <c r="AY11" s="3" t="str">
        <f t="shared" si="3"/>
        <v>3T24</v>
      </c>
      <c r="AZ11" s="3" t="str">
        <f t="shared" si="3"/>
        <v>4T24</v>
      </c>
      <c r="BA11" s="4">
        <f t="shared" si="3"/>
        <v>2024</v>
      </c>
      <c r="BB11" s="3" t="str">
        <f t="shared" si="3"/>
        <v>1T25</v>
      </c>
      <c r="BC11" s="3" t="s">
        <v>383</v>
      </c>
      <c r="BD11" s="3" t="s">
        <v>384</v>
      </c>
      <c r="BE11" s="3" t="s">
        <v>385</v>
      </c>
      <c r="BF11" s="4">
        <v>2025</v>
      </c>
      <c r="BG11" s="3" t="s">
        <v>386</v>
      </c>
      <c r="BH11" s="3" t="s">
        <v>387</v>
      </c>
      <c r="BJ11" s="155"/>
    </row>
    <row r="12" spans="1:62" s="17" customFormat="1" ht="21" customHeight="1" x14ac:dyDescent="0.4">
      <c r="A12" s="5" t="s">
        <v>59</v>
      </c>
      <c r="B12" s="5" t="s">
        <v>60</v>
      </c>
      <c r="C12" s="5"/>
      <c r="D12" s="19">
        <v>125961.179</v>
      </c>
      <c r="E12" s="19">
        <v>99274.294999999984</v>
      </c>
      <c r="F12" s="19">
        <v>119818.71299999997</v>
      </c>
      <c r="G12" s="19">
        <v>124058.19600000001</v>
      </c>
      <c r="H12" s="36">
        <v>469112.38299999997</v>
      </c>
      <c r="I12" s="19">
        <v>129095.74099999999</v>
      </c>
      <c r="J12" s="19">
        <v>107825.75599999998</v>
      </c>
      <c r="K12" s="19">
        <v>131002.48099999993</v>
      </c>
      <c r="L12" s="19">
        <v>141262.003</v>
      </c>
      <c r="M12" s="36">
        <v>509185.98099999991</v>
      </c>
      <c r="N12" s="19">
        <v>131989.671</v>
      </c>
      <c r="O12" s="19">
        <v>115025.59997753907</v>
      </c>
      <c r="P12" s="19">
        <v>133501.326</v>
      </c>
      <c r="Q12" s="19">
        <v>142780.264041107</v>
      </c>
      <c r="R12" s="37">
        <v>523296.86101864598</v>
      </c>
      <c r="S12" s="19">
        <v>129803.223045776</v>
      </c>
      <c r="T12" s="19">
        <v>118930.02899999999</v>
      </c>
      <c r="U12" s="19">
        <v>143176.19399999999</v>
      </c>
      <c r="V12" s="19">
        <v>138553.83429882801</v>
      </c>
      <c r="W12" s="37">
        <v>530463.28034460498</v>
      </c>
      <c r="X12" s="19">
        <v>131867.95800000001</v>
      </c>
      <c r="Y12" s="19">
        <v>115273.555907471</v>
      </c>
      <c r="Z12" s="19">
        <v>141283.79306543001</v>
      </c>
      <c r="AA12" s="19">
        <v>68971.457999999999</v>
      </c>
      <c r="AB12" s="37">
        <v>457396.76497289998</v>
      </c>
      <c r="AC12" s="19">
        <v>142968.42000000001</v>
      </c>
      <c r="AD12" s="19">
        <v>143353.01199999999</v>
      </c>
      <c r="AE12" s="19">
        <v>135651.90400000001</v>
      </c>
      <c r="AF12" s="19">
        <v>150591.51300000001</v>
      </c>
      <c r="AG12" s="37">
        <v>572564.848</v>
      </c>
      <c r="AH12" s="19">
        <v>129655.266</v>
      </c>
      <c r="AI12" s="19">
        <v>152936.941142155</v>
      </c>
      <c r="AJ12" s="19">
        <v>152629.09722096301</v>
      </c>
      <c r="AK12" s="19">
        <v>142213.57395124799</v>
      </c>
      <c r="AL12" s="37">
        <v>577434.87831436505</v>
      </c>
      <c r="AM12" s="19">
        <v>114715.114243713</v>
      </c>
      <c r="AN12" s="19">
        <v>154786</v>
      </c>
      <c r="AO12" s="19">
        <v>149756.57485408001</v>
      </c>
      <c r="AP12" s="19">
        <v>157739</v>
      </c>
      <c r="AQ12" s="37">
        <v>576996</v>
      </c>
      <c r="AR12" s="19">
        <v>153866.35879945799</v>
      </c>
      <c r="AS12" s="19">
        <v>137084.75028800999</v>
      </c>
      <c r="AT12" s="19">
        <v>162497</v>
      </c>
      <c r="AU12" s="19">
        <v>160584</v>
      </c>
      <c r="AV12" s="37">
        <v>614032</v>
      </c>
      <c r="AW12" s="19">
        <v>146601</v>
      </c>
      <c r="AX12" s="19">
        <v>132278.05057835599</v>
      </c>
      <c r="AY12" s="19">
        <v>155161.49515485801</v>
      </c>
      <c r="AZ12" s="19">
        <v>144027</v>
      </c>
      <c r="BA12" s="37">
        <v>578067</v>
      </c>
      <c r="BB12" s="19">
        <v>110316.90487444401</v>
      </c>
      <c r="BC12" s="19">
        <v>146204.02289962801</v>
      </c>
      <c r="BD12" s="19">
        <v>146319.94442176819</v>
      </c>
      <c r="BE12" s="19">
        <v>153306.83080441281</v>
      </c>
      <c r="BF12" s="189">
        <v>556147.70300025272</v>
      </c>
      <c r="BG12" s="19">
        <v>89294.070838270127</v>
      </c>
      <c r="BH12" s="19">
        <v>149262.81264585399</v>
      </c>
      <c r="BJ12" s="155"/>
    </row>
    <row r="13" spans="1:62" s="17" customFormat="1" ht="16.5" customHeight="1" x14ac:dyDescent="0.4">
      <c r="A13" s="5" t="s">
        <v>61</v>
      </c>
      <c r="B13" s="5" t="s">
        <v>62</v>
      </c>
      <c r="C13" s="5"/>
      <c r="D13" s="19">
        <v>88476.764999999999</v>
      </c>
      <c r="E13" s="19">
        <v>105940.29599999999</v>
      </c>
      <c r="F13" s="19">
        <v>118003.245</v>
      </c>
      <c r="G13" s="19">
        <v>116633.40500000004</v>
      </c>
      <c r="H13" s="36">
        <v>429053.71100000001</v>
      </c>
      <c r="I13" s="19">
        <v>90658.967000000004</v>
      </c>
      <c r="J13" s="19">
        <v>112931.10100000001</v>
      </c>
      <c r="K13" s="19">
        <v>108323.93700000001</v>
      </c>
      <c r="L13" s="19">
        <v>110342.96899999998</v>
      </c>
      <c r="M13" s="36">
        <v>422256.97399999999</v>
      </c>
      <c r="N13" s="19">
        <v>94613.114000000001</v>
      </c>
      <c r="O13" s="19">
        <v>111495.92200000002</v>
      </c>
      <c r="P13" s="19">
        <v>113396.462</v>
      </c>
      <c r="Q13" s="19">
        <v>115148.571216553</v>
      </c>
      <c r="R13" s="37">
        <v>434654.06921655301</v>
      </c>
      <c r="S13" s="19">
        <v>95841.104006347596</v>
      </c>
      <c r="T13" s="19">
        <v>113255.903930664</v>
      </c>
      <c r="U13" s="19">
        <v>113261.123832703</v>
      </c>
      <c r="V13" s="19">
        <v>115147.20837116201</v>
      </c>
      <c r="W13" s="37">
        <v>437505.340140877</v>
      </c>
      <c r="X13" s="19">
        <v>107294.07582283</v>
      </c>
      <c r="Y13" s="19">
        <v>110908.01909637501</v>
      </c>
      <c r="Z13" s="19">
        <v>119996.43005907501</v>
      </c>
      <c r="AA13" s="19">
        <v>116432.667037964</v>
      </c>
      <c r="AB13" s="37">
        <v>454631.19201624399</v>
      </c>
      <c r="AC13" s="19">
        <v>118789.49</v>
      </c>
      <c r="AD13" s="19">
        <v>115510</v>
      </c>
      <c r="AE13" s="19">
        <v>86150.152000000002</v>
      </c>
      <c r="AF13" s="19">
        <v>114268.323</v>
      </c>
      <c r="AG13" s="37">
        <v>434718</v>
      </c>
      <c r="AH13" s="19">
        <v>94755.959000000003</v>
      </c>
      <c r="AI13" s="19">
        <v>116559.052</v>
      </c>
      <c r="AJ13" s="19">
        <v>112151.38400000001</v>
      </c>
      <c r="AK13" s="19">
        <v>107790.93</v>
      </c>
      <c r="AL13" s="37">
        <v>431257.32500000001</v>
      </c>
      <c r="AM13" s="19">
        <v>84219.296000000002</v>
      </c>
      <c r="AN13" s="19">
        <v>112168</v>
      </c>
      <c r="AO13" s="19">
        <v>21776.0470002</v>
      </c>
      <c r="AP13" s="19">
        <v>21152</v>
      </c>
      <c r="AQ13" s="37">
        <v>239315</v>
      </c>
      <c r="AR13" s="19">
        <v>98812.274000000005</v>
      </c>
      <c r="AS13" s="19">
        <v>88239.57</v>
      </c>
      <c r="AT13" s="19">
        <v>68288.3</v>
      </c>
      <c r="AU13" s="19">
        <v>105972</v>
      </c>
      <c r="AV13" s="37">
        <v>361313</v>
      </c>
      <c r="AW13" s="19">
        <v>108264</v>
      </c>
      <c r="AX13" s="19">
        <v>105790.533</v>
      </c>
      <c r="AY13" s="19">
        <v>93018.616999999998</v>
      </c>
      <c r="AZ13" s="19">
        <v>111815</v>
      </c>
      <c r="BA13" s="37">
        <v>418888</v>
      </c>
      <c r="BB13" s="19">
        <v>103935.296</v>
      </c>
      <c r="BC13" s="19">
        <v>110245.75999999999</v>
      </c>
      <c r="BD13" s="19">
        <v>93101.588000000003</v>
      </c>
      <c r="BE13" s="19">
        <v>85152.425000000047</v>
      </c>
      <c r="BF13" s="189">
        <v>392435.06900000013</v>
      </c>
      <c r="BG13" s="19">
        <v>96686.560000000012</v>
      </c>
      <c r="BH13" s="19">
        <v>105412.17700000001</v>
      </c>
      <c r="BJ13" s="155"/>
    </row>
    <row r="14" spans="1:62" s="17" customFormat="1" ht="16.5" customHeight="1" x14ac:dyDescent="0.4">
      <c r="A14" s="38" t="s">
        <v>63</v>
      </c>
      <c r="B14" s="38" t="s">
        <v>64</v>
      </c>
      <c r="C14" s="39"/>
      <c r="D14" s="40">
        <v>214437.94400000002</v>
      </c>
      <c r="E14" s="40">
        <v>205214.59099999996</v>
      </c>
      <c r="F14" s="40">
        <v>237821.95799999998</v>
      </c>
      <c r="G14" s="40">
        <v>240691.60100000005</v>
      </c>
      <c r="H14" s="41">
        <v>898166.09400000004</v>
      </c>
      <c r="I14" s="40">
        <v>219754.70800000001</v>
      </c>
      <c r="J14" s="40">
        <v>220756.85699999999</v>
      </c>
      <c r="K14" s="40">
        <v>239326.41799999995</v>
      </c>
      <c r="L14" s="40">
        <v>251604.97199999998</v>
      </c>
      <c r="M14" s="41">
        <v>931442.95499999996</v>
      </c>
      <c r="N14" s="40">
        <v>226602.785</v>
      </c>
      <c r="O14" s="40">
        <v>226521.52197753909</v>
      </c>
      <c r="P14" s="40">
        <v>246897.788</v>
      </c>
      <c r="Q14" s="40">
        <v>257928.83525766002</v>
      </c>
      <c r="R14" s="42">
        <v>957950.93023519893</v>
      </c>
      <c r="S14" s="40">
        <v>225644.32705212361</v>
      </c>
      <c r="T14" s="40">
        <v>232185.93293066398</v>
      </c>
      <c r="U14" s="40">
        <v>256437.317832703</v>
      </c>
      <c r="V14" s="40">
        <v>253701.042669991</v>
      </c>
      <c r="W14" s="42">
        <v>967968.62048548099</v>
      </c>
      <c r="X14" s="40">
        <v>239162.03382283001</v>
      </c>
      <c r="Y14" s="40">
        <v>226181.57500384602</v>
      </c>
      <c r="Z14" s="40">
        <v>261280.22312450502</v>
      </c>
      <c r="AA14" s="40">
        <v>185404.125037964</v>
      </c>
      <c r="AB14" s="42">
        <v>912027.95698914398</v>
      </c>
      <c r="AC14" s="40">
        <v>261757.91000000003</v>
      </c>
      <c r="AD14" s="40">
        <v>258859.55998684198</v>
      </c>
      <c r="AE14" s="40">
        <v>221802.05600000001</v>
      </c>
      <c r="AF14" s="40">
        <v>264859.83600000001</v>
      </c>
      <c r="AG14" s="42">
        <f>SUM(AG12:AG13)</f>
        <v>1007282.848</v>
      </c>
      <c r="AH14" s="40">
        <v>224411.22500000001</v>
      </c>
      <c r="AI14" s="40">
        <v>269495.993142155</v>
      </c>
      <c r="AJ14" s="40">
        <v>264780.481220963</v>
      </c>
      <c r="AK14" s="40">
        <v>250004.50395124799</v>
      </c>
      <c r="AL14" s="42">
        <v>1008692.2033143651</v>
      </c>
      <c r="AM14" s="40">
        <v>198934.41024371301</v>
      </c>
      <c r="AN14" s="40">
        <v>266954</v>
      </c>
      <c r="AO14" s="40">
        <v>171532.62185428001</v>
      </c>
      <c r="AP14" s="40">
        <v>178891</v>
      </c>
      <c r="AQ14" s="42">
        <v>816311</v>
      </c>
      <c r="AR14" s="40">
        <v>252678.63279945799</v>
      </c>
      <c r="AS14" s="40">
        <v>225324.32028801</v>
      </c>
      <c r="AT14" s="40">
        <v>230786</v>
      </c>
      <c r="AU14" s="40">
        <v>266556</v>
      </c>
      <c r="AV14" s="42">
        <v>975345</v>
      </c>
      <c r="AW14" s="40">
        <v>254865</v>
      </c>
      <c r="AX14" s="40">
        <v>238068.58357835599</v>
      </c>
      <c r="AY14" s="40">
        <v>248180.11215485801</v>
      </c>
      <c r="AZ14" s="40">
        <v>255842</v>
      </c>
      <c r="BA14" s="42">
        <v>996955</v>
      </c>
      <c r="BB14" s="40">
        <v>214252.20087444401</v>
      </c>
      <c r="BC14" s="40">
        <v>256449.78289962799</v>
      </c>
      <c r="BD14" s="40">
        <v>239421.53242176818</v>
      </c>
      <c r="BE14" s="40">
        <v>238459.25580441285</v>
      </c>
      <c r="BF14" s="190">
        <v>948582.77200025285</v>
      </c>
      <c r="BG14" s="40">
        <v>185980.63083827012</v>
      </c>
      <c r="BH14" s="40">
        <v>254674.98964585399</v>
      </c>
      <c r="BJ14" s="155"/>
    </row>
    <row r="15" spans="1:62" s="17" customFormat="1" ht="16.5" thickBot="1" x14ac:dyDescent="0.45"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43"/>
      <c r="AI15" s="35"/>
      <c r="AJ15" s="35"/>
      <c r="AK15" s="35"/>
      <c r="AL15" s="70"/>
      <c r="AM15" s="43"/>
      <c r="AN15" s="43"/>
      <c r="AO15" s="43"/>
      <c r="AP15" s="35"/>
      <c r="AQ15" s="35"/>
      <c r="AR15" s="43"/>
      <c r="AS15" s="43"/>
      <c r="AT15" s="43"/>
      <c r="AU15" s="43"/>
      <c r="AV15" s="35"/>
      <c r="AW15" s="43"/>
      <c r="AX15" s="43"/>
      <c r="AY15" s="43"/>
      <c r="AZ15" s="43"/>
      <c r="BA15" s="35"/>
      <c r="BB15" s="43"/>
      <c r="BC15" s="43"/>
      <c r="BD15" s="43"/>
      <c r="BF15" s="35"/>
      <c r="BJ15" s="155"/>
    </row>
    <row r="16" spans="1:62" ht="16.5" thickBot="1" x14ac:dyDescent="0.45">
      <c r="A16" s="1" t="s">
        <v>65</v>
      </c>
      <c r="B16" s="1" t="s">
        <v>66</v>
      </c>
      <c r="C16" s="2"/>
      <c r="D16" s="3" t="str">
        <f>D11</f>
        <v>1T15</v>
      </c>
      <c r="E16" s="3" t="str">
        <f>E11</f>
        <v>2T15</v>
      </c>
      <c r="F16" s="3" t="str">
        <f>F11</f>
        <v>3T15</v>
      </c>
      <c r="G16" s="3" t="str">
        <f>G11</f>
        <v>4T15</v>
      </c>
      <c r="H16" s="4">
        <f>H11</f>
        <v>2015</v>
      </c>
      <c r="I16" s="3" t="str">
        <f t="shared" ref="I16:AT16" si="4">I11</f>
        <v>1T16</v>
      </c>
      <c r="J16" s="3" t="str">
        <f t="shared" si="4"/>
        <v>2T16</v>
      </c>
      <c r="K16" s="3" t="str">
        <f t="shared" si="4"/>
        <v>3T16</v>
      </c>
      <c r="L16" s="3" t="str">
        <f t="shared" si="4"/>
        <v>4T16</v>
      </c>
      <c r="M16" s="4">
        <f t="shared" si="4"/>
        <v>2016</v>
      </c>
      <c r="N16" s="3" t="str">
        <f t="shared" si="4"/>
        <v>1T17</v>
      </c>
      <c r="O16" s="3" t="str">
        <f t="shared" si="4"/>
        <v>2T17</v>
      </c>
      <c r="P16" s="3" t="str">
        <f t="shared" si="4"/>
        <v>3T17</v>
      </c>
      <c r="Q16" s="3" t="str">
        <f t="shared" si="4"/>
        <v>4T17</v>
      </c>
      <c r="R16" s="4">
        <f t="shared" si="4"/>
        <v>2017</v>
      </c>
      <c r="S16" s="3" t="str">
        <f t="shared" si="4"/>
        <v>1T18</v>
      </c>
      <c r="T16" s="3" t="str">
        <f t="shared" si="4"/>
        <v>2T18</v>
      </c>
      <c r="U16" s="3" t="str">
        <f t="shared" si="4"/>
        <v>3T18</v>
      </c>
      <c r="V16" s="3" t="str">
        <f t="shared" si="4"/>
        <v>4T18</v>
      </c>
      <c r="W16" s="4">
        <f t="shared" si="4"/>
        <v>2018</v>
      </c>
      <c r="X16" s="3" t="str">
        <f t="shared" si="4"/>
        <v>1T19</v>
      </c>
      <c r="Y16" s="3" t="str">
        <f t="shared" si="4"/>
        <v>2T19</v>
      </c>
      <c r="Z16" s="3" t="str">
        <f t="shared" si="4"/>
        <v>3T19</v>
      </c>
      <c r="AA16" s="3" t="str">
        <f t="shared" si="4"/>
        <v>4T19</v>
      </c>
      <c r="AB16" s="4">
        <f t="shared" si="4"/>
        <v>2019</v>
      </c>
      <c r="AC16" s="3" t="str">
        <f t="shared" si="4"/>
        <v>1T20</v>
      </c>
      <c r="AD16" s="3" t="str">
        <f t="shared" si="4"/>
        <v>2T20</v>
      </c>
      <c r="AE16" s="3" t="str">
        <f t="shared" si="4"/>
        <v>3T20</v>
      </c>
      <c r="AF16" s="3" t="str">
        <f t="shared" si="4"/>
        <v>4T20</v>
      </c>
      <c r="AG16" s="4">
        <f t="shared" si="4"/>
        <v>2020</v>
      </c>
      <c r="AH16" s="3" t="str">
        <f t="shared" si="4"/>
        <v>1T21</v>
      </c>
      <c r="AI16" s="3" t="str">
        <f t="shared" si="4"/>
        <v>2T21</v>
      </c>
      <c r="AJ16" s="3" t="str">
        <f t="shared" si="4"/>
        <v>3T21</v>
      </c>
      <c r="AK16" s="3" t="str">
        <f t="shared" si="4"/>
        <v>4T21</v>
      </c>
      <c r="AL16" s="4">
        <f t="shared" si="4"/>
        <v>2021</v>
      </c>
      <c r="AM16" s="3" t="str">
        <f t="shared" si="4"/>
        <v>1T22</v>
      </c>
      <c r="AN16" s="3" t="str">
        <f t="shared" si="4"/>
        <v>2T22</v>
      </c>
      <c r="AO16" s="3" t="str">
        <f t="shared" si="4"/>
        <v>3T22</v>
      </c>
      <c r="AP16" s="3" t="str">
        <f t="shared" si="4"/>
        <v>4T22</v>
      </c>
      <c r="AQ16" s="4">
        <f t="shared" si="4"/>
        <v>2022</v>
      </c>
      <c r="AR16" s="3" t="str">
        <f t="shared" si="4"/>
        <v>1T23</v>
      </c>
      <c r="AS16" s="3" t="str">
        <f t="shared" si="4"/>
        <v>2T23</v>
      </c>
      <c r="AT16" s="3" t="str">
        <f t="shared" si="4"/>
        <v>3T23</v>
      </c>
      <c r="AU16" s="3" t="s">
        <v>37</v>
      </c>
      <c r="AV16" s="4">
        <v>2023</v>
      </c>
      <c r="AW16" s="3" t="str">
        <f>AW11</f>
        <v>1T24</v>
      </c>
      <c r="AX16" s="3" t="str">
        <f t="shared" ref="AX16:BB16" si="5">AX11</f>
        <v>2T24</v>
      </c>
      <c r="AY16" s="3" t="str">
        <f t="shared" si="5"/>
        <v>3T24</v>
      </c>
      <c r="AZ16" s="3" t="str">
        <f t="shared" si="5"/>
        <v>4T24</v>
      </c>
      <c r="BA16" s="4">
        <f t="shared" si="5"/>
        <v>2024</v>
      </c>
      <c r="BB16" s="3" t="str">
        <f t="shared" si="5"/>
        <v>1T25</v>
      </c>
      <c r="BC16" s="3" t="s">
        <v>383</v>
      </c>
      <c r="BD16" s="3" t="s">
        <v>384</v>
      </c>
      <c r="BE16" s="3" t="s">
        <v>385</v>
      </c>
      <c r="BF16" s="4">
        <v>2025</v>
      </c>
      <c r="BG16" s="3" t="s">
        <v>386</v>
      </c>
      <c r="BH16" s="3" t="s">
        <v>387</v>
      </c>
      <c r="BJ16" s="155"/>
    </row>
    <row r="17" spans="1:62" s="17" customFormat="1" x14ac:dyDescent="0.4">
      <c r="A17" s="46" t="s">
        <v>67</v>
      </c>
      <c r="B17" s="46" t="s">
        <v>68</v>
      </c>
      <c r="C17" s="5"/>
      <c r="D17" s="14">
        <v>362.72370071402173</v>
      </c>
      <c r="E17" s="14">
        <v>366.98536353814598</v>
      </c>
      <c r="F17" s="14">
        <v>364.96917975057198</v>
      </c>
      <c r="G17" s="14">
        <v>354.77631270868198</v>
      </c>
      <c r="H17" s="15">
        <v>359.01857599765174</v>
      </c>
      <c r="I17" s="14">
        <v>375.42131327117096</v>
      </c>
      <c r="J17" s="14">
        <v>362.66368464619421</v>
      </c>
      <c r="K17" s="14">
        <v>350.95266684311127</v>
      </c>
      <c r="L17" s="14">
        <v>340.90994475686028</v>
      </c>
      <c r="M17" s="212">
        <v>356.72684843796139</v>
      </c>
      <c r="N17" s="14">
        <v>343.55623970621002</v>
      </c>
      <c r="O17" s="14">
        <v>346.27674587067099</v>
      </c>
      <c r="P17" s="14">
        <v>350.00047727775001</v>
      </c>
      <c r="Q17" s="14">
        <v>357.58820613283899</v>
      </c>
      <c r="R17" s="186">
        <v>349.61432367266298</v>
      </c>
      <c r="S17" s="14">
        <v>369.26582524410202</v>
      </c>
      <c r="T17" s="14">
        <v>377.78396179362198</v>
      </c>
      <c r="U17" s="14">
        <v>376.01221220722198</v>
      </c>
      <c r="V17" s="14">
        <v>383.48390210946604</v>
      </c>
      <c r="W17" s="186">
        <v>376.87930940913333</v>
      </c>
      <c r="X17" s="14">
        <v>396.06809239614699</v>
      </c>
      <c r="Y17" s="14">
        <v>398.71652249141903</v>
      </c>
      <c r="Z17" s="14">
        <v>376.39818831143401</v>
      </c>
      <c r="AA17" s="14">
        <v>426.57222796934298</v>
      </c>
      <c r="AB17" s="186">
        <v>396.59331918996298</v>
      </c>
      <c r="AC17" s="14">
        <v>380.07499999999999</v>
      </c>
      <c r="AD17" s="14">
        <v>375.11138670028902</v>
      </c>
      <c r="AE17" s="14">
        <v>372.808512549032</v>
      </c>
      <c r="AF17" s="14">
        <v>366.806239336543</v>
      </c>
      <c r="AG17" s="186">
        <v>373.98430474377</v>
      </c>
      <c r="AH17" s="14">
        <v>385.831940965912</v>
      </c>
      <c r="AI17" s="14">
        <v>367.66209328107902</v>
      </c>
      <c r="AJ17" s="14">
        <v>376.71693367380163</v>
      </c>
      <c r="AK17" s="14">
        <v>437.38903207920703</v>
      </c>
      <c r="AL17" s="186">
        <v>391.9444262682361</v>
      </c>
      <c r="AM17" s="14">
        <v>513.76264592245684</v>
      </c>
      <c r="AN17" s="14">
        <v>489.5</v>
      </c>
      <c r="AO17" s="14">
        <v>568.37353282201195</v>
      </c>
      <c r="AP17" s="14">
        <v>678.8</v>
      </c>
      <c r="AQ17" s="186">
        <v>552.70000000000005</v>
      </c>
      <c r="AR17" s="14">
        <v>635.79999999999995</v>
      </c>
      <c r="AS17" s="14">
        <v>534.45299999999997</v>
      </c>
      <c r="AT17" s="14">
        <v>483.59999999999997</v>
      </c>
      <c r="AU17" s="14">
        <v>455.2</v>
      </c>
      <c r="AV17" s="186">
        <v>525.5</v>
      </c>
      <c r="AW17" s="14">
        <v>486.95299999999997</v>
      </c>
      <c r="AX17" s="14">
        <v>474</v>
      </c>
      <c r="AY17" s="14">
        <v>488.70824698680599</v>
      </c>
      <c r="AZ17" s="14">
        <v>521.36199999999997</v>
      </c>
      <c r="BA17" s="186">
        <v>493.01099999999997</v>
      </c>
      <c r="BB17" s="14">
        <v>510.30457908909534</v>
      </c>
      <c r="BC17" s="14">
        <v>487.890882820667</v>
      </c>
      <c r="BD17" s="14">
        <v>459.11764240011598</v>
      </c>
      <c r="BE17" s="108">
        <v>476.83323517089588</v>
      </c>
      <c r="BF17" s="186">
        <v>482.66640138553544</v>
      </c>
      <c r="BG17" s="108">
        <v>522.20364287234736</v>
      </c>
      <c r="BH17" s="108">
        <v>455.05251478758606</v>
      </c>
      <c r="BJ17" s="155"/>
    </row>
    <row r="18" spans="1:62" s="30" customFormat="1" x14ac:dyDescent="0.4">
      <c r="A18" s="47" t="s">
        <v>69</v>
      </c>
      <c r="B18" s="47" t="s">
        <v>70</v>
      </c>
      <c r="C18" s="21"/>
      <c r="D18" s="48">
        <v>362.72370071402173</v>
      </c>
      <c r="E18" s="48">
        <v>366.98536353814598</v>
      </c>
      <c r="F18" s="48">
        <v>364.96917975057198</v>
      </c>
      <c r="G18" s="48">
        <v>354.77631270868198</v>
      </c>
      <c r="H18" s="49">
        <f t="shared" ref="H18:AN18" si="6">H8-H17</f>
        <v>186.65282903484899</v>
      </c>
      <c r="I18" s="50">
        <f t="shared" si="6"/>
        <v>136.61634401121597</v>
      </c>
      <c r="J18" s="50">
        <f t="shared" si="6"/>
        <v>97.118385038517033</v>
      </c>
      <c r="K18" s="50">
        <f t="shared" si="6"/>
        <v>100.65437184671254</v>
      </c>
      <c r="L18" s="50">
        <f t="shared" si="6"/>
        <v>98.359529412383438</v>
      </c>
      <c r="M18" s="49">
        <f t="shared" si="6"/>
        <v>107.69305264046648</v>
      </c>
      <c r="N18" s="50">
        <f t="shared" si="6"/>
        <v>122.09988999678444</v>
      </c>
      <c r="O18" s="50">
        <f t="shared" si="6"/>
        <v>174.35198205751738</v>
      </c>
      <c r="P18" s="50">
        <f t="shared" si="6"/>
        <v>193.18943126188941</v>
      </c>
      <c r="Q18" s="50">
        <f t="shared" si="6"/>
        <v>223.93175276479872</v>
      </c>
      <c r="R18" s="49">
        <f t="shared" si="6"/>
        <v>178.61585943367129</v>
      </c>
      <c r="S18" s="50">
        <f t="shared" si="6"/>
        <v>232.18182984628783</v>
      </c>
      <c r="T18" s="50">
        <f t="shared" si="6"/>
        <v>256.67224399975112</v>
      </c>
      <c r="U18" s="50">
        <f t="shared" si="6"/>
        <v>283.87338251242386</v>
      </c>
      <c r="V18" s="50">
        <f t="shared" si="6"/>
        <v>260.12551080576714</v>
      </c>
      <c r="W18" s="49">
        <f t="shared" si="6"/>
        <v>258.22971781292955</v>
      </c>
      <c r="X18" s="50">
        <f t="shared" si="6"/>
        <v>208.81272419386823</v>
      </c>
      <c r="Y18" s="50">
        <f t="shared" si="6"/>
        <v>177.1230029407767</v>
      </c>
      <c r="Z18" s="50">
        <f t="shared" si="6"/>
        <v>105.54274515072723</v>
      </c>
      <c r="AA18" s="50">
        <f t="shared" si="6"/>
        <v>5.590842551964613</v>
      </c>
      <c r="AB18" s="49">
        <f t="shared" si="6"/>
        <v>126.2287816580336</v>
      </c>
      <c r="AC18" s="50">
        <f t="shared" si="6"/>
        <v>38.119950609070543</v>
      </c>
      <c r="AD18" s="50">
        <f t="shared" si="6"/>
        <v>41.687756796450401</v>
      </c>
      <c r="AE18" s="50">
        <f t="shared" si="6"/>
        <v>10.83152846454874</v>
      </c>
      <c r="AF18" s="50">
        <f t="shared" si="6"/>
        <v>17.629894177302447</v>
      </c>
      <c r="AG18" s="49">
        <f t="shared" si="6"/>
        <v>27.208472015266466</v>
      </c>
      <c r="AH18" s="50">
        <f t="shared" si="6"/>
        <v>17.906266231781899</v>
      </c>
      <c r="AI18" s="50">
        <f t="shared" si="6"/>
        <v>157.81799571096292</v>
      </c>
      <c r="AJ18" s="50">
        <f t="shared" si="6"/>
        <v>236.54658651643655</v>
      </c>
      <c r="AK18" s="50">
        <f t="shared" si="6"/>
        <v>206.76853309529906</v>
      </c>
      <c r="AL18" s="49">
        <f t="shared" si="6"/>
        <v>154.77901394638337</v>
      </c>
      <c r="AM18" s="50">
        <f t="shared" si="6"/>
        <v>136.86157038978752</v>
      </c>
      <c r="AN18" s="50">
        <f t="shared" si="6"/>
        <v>234.38091799371625</v>
      </c>
      <c r="AO18" s="50">
        <v>264.23423295339103</v>
      </c>
      <c r="AP18" s="50">
        <v>185.70497189796799</v>
      </c>
      <c r="AQ18" s="49">
        <v>203.96965474941828</v>
      </c>
      <c r="AR18" s="50">
        <v>126.64830034088686</v>
      </c>
      <c r="AS18" s="50">
        <v>43.232798637558858</v>
      </c>
      <c r="AT18" s="50">
        <v>-6.5749629396406135</v>
      </c>
      <c r="AU18" s="50">
        <v>67.035922931727271</v>
      </c>
      <c r="AV18" s="49">
        <v>52.519848727798944</v>
      </c>
      <c r="AW18" s="50">
        <v>113.95089987063602</v>
      </c>
      <c r="AX18" s="50">
        <v>253.99240044021394</v>
      </c>
      <c r="AY18" s="50">
        <v>189.95049944423556</v>
      </c>
      <c r="AZ18" s="50">
        <v>54.356154416485197</v>
      </c>
      <c r="BA18" s="49">
        <v>154.16332732413707</v>
      </c>
      <c r="BB18" s="50">
        <v>47.863318081020793</v>
      </c>
      <c r="BC18" s="50">
        <v>53.743581124000571</v>
      </c>
      <c r="BD18" s="50">
        <v>-7.1617949543256714</v>
      </c>
      <c r="BE18" s="48">
        <v>-5.465367918129914</v>
      </c>
      <c r="BF18" s="191">
        <v>20.456235123619365</v>
      </c>
      <c r="BG18" s="48">
        <v>-26.990648630366081</v>
      </c>
      <c r="BH18" s="48">
        <v>102.79604191551329</v>
      </c>
      <c r="BJ18" s="155"/>
    </row>
    <row r="19" spans="1:62" s="17" customFormat="1" ht="16.5" thickBot="1" x14ac:dyDescent="0.45">
      <c r="A19" s="21"/>
      <c r="B19" s="21"/>
      <c r="C19" s="2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F19" s="51"/>
      <c r="BJ19" s="155"/>
    </row>
    <row r="20" spans="1:62" ht="16.5" thickBot="1" x14ac:dyDescent="0.45">
      <c r="A20" s="1" t="s">
        <v>71</v>
      </c>
      <c r="B20" s="1" t="s">
        <v>72</v>
      </c>
      <c r="C20" s="2"/>
      <c r="D20" s="3" t="str">
        <f t="shared" ref="D20:AI20" si="7">D1</f>
        <v>1T15</v>
      </c>
      <c r="E20" s="3" t="str">
        <f t="shared" si="7"/>
        <v>2T15</v>
      </c>
      <c r="F20" s="3" t="str">
        <f t="shared" si="7"/>
        <v>3T15</v>
      </c>
      <c r="G20" s="3" t="str">
        <f t="shared" si="7"/>
        <v>4T15</v>
      </c>
      <c r="H20" s="4">
        <f t="shared" si="7"/>
        <v>2015</v>
      </c>
      <c r="I20" s="3" t="str">
        <f t="shared" si="7"/>
        <v>1T16</v>
      </c>
      <c r="J20" s="3" t="str">
        <f t="shared" si="7"/>
        <v>2T16</v>
      </c>
      <c r="K20" s="3" t="str">
        <f t="shared" si="7"/>
        <v>3T16</v>
      </c>
      <c r="L20" s="3" t="str">
        <f t="shared" si="7"/>
        <v>4T16</v>
      </c>
      <c r="M20" s="4">
        <f t="shared" si="7"/>
        <v>2016</v>
      </c>
      <c r="N20" s="3" t="str">
        <f t="shared" si="7"/>
        <v>1T17</v>
      </c>
      <c r="O20" s="3" t="str">
        <f t="shared" si="7"/>
        <v>2T17</v>
      </c>
      <c r="P20" s="3" t="str">
        <f t="shared" si="7"/>
        <v>3T17</v>
      </c>
      <c r="Q20" s="3" t="str">
        <f t="shared" si="7"/>
        <v>4T17</v>
      </c>
      <c r="R20" s="4">
        <f t="shared" si="7"/>
        <v>2017</v>
      </c>
      <c r="S20" s="3" t="str">
        <f t="shared" si="7"/>
        <v>1T18</v>
      </c>
      <c r="T20" s="3" t="str">
        <f t="shared" si="7"/>
        <v>2T18</v>
      </c>
      <c r="U20" s="3" t="str">
        <f t="shared" si="7"/>
        <v>3T18</v>
      </c>
      <c r="V20" s="3" t="str">
        <f t="shared" si="7"/>
        <v>4T18</v>
      </c>
      <c r="W20" s="4">
        <f t="shared" si="7"/>
        <v>2018</v>
      </c>
      <c r="X20" s="3" t="str">
        <f t="shared" si="7"/>
        <v>1T19</v>
      </c>
      <c r="Y20" s="3" t="str">
        <f t="shared" si="7"/>
        <v>2T19</v>
      </c>
      <c r="Z20" s="3" t="str">
        <f t="shared" si="7"/>
        <v>3T19</v>
      </c>
      <c r="AA20" s="3" t="str">
        <f t="shared" si="7"/>
        <v>4T19</v>
      </c>
      <c r="AB20" s="4">
        <f t="shared" si="7"/>
        <v>2019</v>
      </c>
      <c r="AC20" s="3" t="str">
        <f t="shared" si="7"/>
        <v>1T20</v>
      </c>
      <c r="AD20" s="3" t="str">
        <f t="shared" si="7"/>
        <v>2T20</v>
      </c>
      <c r="AE20" s="3" t="str">
        <f t="shared" si="7"/>
        <v>3T20</v>
      </c>
      <c r="AF20" s="3" t="str">
        <f t="shared" si="7"/>
        <v>4T20</v>
      </c>
      <c r="AG20" s="4">
        <f t="shared" si="7"/>
        <v>2020</v>
      </c>
      <c r="AH20" s="3" t="str">
        <f t="shared" si="7"/>
        <v>1T21</v>
      </c>
      <c r="AI20" s="3" t="str">
        <f t="shared" si="7"/>
        <v>2T21</v>
      </c>
      <c r="AJ20" s="3" t="str">
        <f t="shared" ref="AJ20:BB20" si="8">AJ1</f>
        <v>3T21</v>
      </c>
      <c r="AK20" s="3" t="str">
        <f t="shared" si="8"/>
        <v>4T21</v>
      </c>
      <c r="AL20" s="4">
        <f t="shared" si="8"/>
        <v>2021</v>
      </c>
      <c r="AM20" s="3" t="str">
        <f t="shared" si="8"/>
        <v>1T22</v>
      </c>
      <c r="AN20" s="3" t="str">
        <f t="shared" si="8"/>
        <v>2T22</v>
      </c>
      <c r="AO20" s="3" t="str">
        <f t="shared" si="8"/>
        <v>3T22</v>
      </c>
      <c r="AP20" s="3" t="str">
        <f t="shared" si="8"/>
        <v>4T22</v>
      </c>
      <c r="AQ20" s="4">
        <f t="shared" si="8"/>
        <v>2022</v>
      </c>
      <c r="AR20" s="3" t="str">
        <f t="shared" si="8"/>
        <v>1T23</v>
      </c>
      <c r="AS20" s="3" t="str">
        <f t="shared" si="8"/>
        <v>2T23</v>
      </c>
      <c r="AT20" s="3" t="str">
        <f t="shared" si="8"/>
        <v>3T23</v>
      </c>
      <c r="AU20" s="3" t="s">
        <v>37</v>
      </c>
      <c r="AV20" s="4">
        <v>2023</v>
      </c>
      <c r="AW20" s="3" t="str">
        <f t="shared" si="8"/>
        <v>1T24</v>
      </c>
      <c r="AX20" s="3" t="str">
        <f t="shared" si="8"/>
        <v>2T24</v>
      </c>
      <c r="AY20" s="3" t="str">
        <f t="shared" si="8"/>
        <v>3T24</v>
      </c>
      <c r="AZ20" s="3" t="str">
        <f t="shared" si="8"/>
        <v>4T24</v>
      </c>
      <c r="BA20" s="4">
        <f t="shared" si="8"/>
        <v>2024</v>
      </c>
      <c r="BB20" s="3" t="str">
        <f t="shared" si="8"/>
        <v>1T25</v>
      </c>
      <c r="BC20" s="3" t="s">
        <v>383</v>
      </c>
      <c r="BD20" s="3" t="s">
        <v>384</v>
      </c>
      <c r="BE20" s="3" t="s">
        <v>385</v>
      </c>
      <c r="BF20" s="4">
        <v>2025</v>
      </c>
      <c r="BG20" s="3" t="s">
        <v>386</v>
      </c>
      <c r="BH20" s="3" t="s">
        <v>387</v>
      </c>
      <c r="BJ20" s="155"/>
    </row>
    <row r="21" spans="1:62" s="17" customFormat="1" ht="19.399999999999999" customHeight="1" x14ac:dyDescent="0.4">
      <c r="A21" s="5" t="s">
        <v>73</v>
      </c>
      <c r="B21" s="5" t="s">
        <v>74</v>
      </c>
      <c r="C21" s="5"/>
      <c r="D21" s="19">
        <v>16.870999999999999</v>
      </c>
      <c r="E21" s="19">
        <v>16.006</v>
      </c>
      <c r="F21" s="19">
        <v>20.111999999999998</v>
      </c>
      <c r="G21" s="19">
        <v>19.253</v>
      </c>
      <c r="H21" s="7">
        <v>72.242000000000004</v>
      </c>
      <c r="I21" s="6">
        <v>13.013</v>
      </c>
      <c r="J21" s="6">
        <v>12.484</v>
      </c>
      <c r="K21" s="6">
        <v>15.971</v>
      </c>
      <c r="L21" s="6">
        <v>25.148</v>
      </c>
      <c r="M21" s="7">
        <v>66.616</v>
      </c>
      <c r="N21" s="6">
        <v>20.149000000000001</v>
      </c>
      <c r="O21" s="6">
        <v>16.074999999999996</v>
      </c>
      <c r="P21" s="6">
        <v>19.353000000000002</v>
      </c>
      <c r="Q21" s="6">
        <v>21.268000000000001</v>
      </c>
      <c r="R21" s="8">
        <v>76.844999999999999</v>
      </c>
      <c r="S21" s="6">
        <v>18.593</v>
      </c>
      <c r="T21" s="6">
        <v>20.037000000000003</v>
      </c>
      <c r="U21" s="6">
        <v>22.745999999999995</v>
      </c>
      <c r="V21" s="6">
        <v>21.461000000000006</v>
      </c>
      <c r="W21" s="8">
        <v>82.837000000000003</v>
      </c>
      <c r="X21" s="6">
        <v>19.306999999999999</v>
      </c>
      <c r="Y21" s="6">
        <v>17.911000000000005</v>
      </c>
      <c r="Z21" s="6">
        <v>21.100999999999999</v>
      </c>
      <c r="AA21" s="6">
        <v>15.018999999999991</v>
      </c>
      <c r="AB21" s="8">
        <v>73.337999999999994</v>
      </c>
      <c r="AC21" s="6">
        <v>18.311</v>
      </c>
      <c r="AD21" s="6">
        <v>19.122</v>
      </c>
      <c r="AE21" s="6">
        <v>18.006</v>
      </c>
      <c r="AF21" s="6">
        <v>20.110000000000007</v>
      </c>
      <c r="AG21" s="8">
        <v>75.549000000000007</v>
      </c>
      <c r="AH21" s="6">
        <v>16.972999999999999</v>
      </c>
      <c r="AI21" s="6">
        <v>26.249000000000002</v>
      </c>
      <c r="AJ21" s="6">
        <v>23.661999999999999</v>
      </c>
      <c r="AK21" s="6">
        <v>39.816000000000003</v>
      </c>
      <c r="AL21" s="8">
        <v>106.7</v>
      </c>
      <c r="AM21" s="6">
        <v>25.683</v>
      </c>
      <c r="AN21" s="6">
        <v>10.152999999999999</v>
      </c>
      <c r="AO21" s="6">
        <v>14.770000000000003</v>
      </c>
      <c r="AP21" s="6">
        <v>23.005999999999993</v>
      </c>
      <c r="AQ21" s="8">
        <v>73.611999999999995</v>
      </c>
      <c r="AR21" s="6">
        <v>7.4199999999999982</v>
      </c>
      <c r="AS21" s="6">
        <v>8.772000000000002</v>
      </c>
      <c r="AT21" s="6">
        <v>8.9259999999999984</v>
      </c>
      <c r="AU21" s="6">
        <v>13.071999999999999</v>
      </c>
      <c r="AV21" s="8">
        <v>38.19</v>
      </c>
      <c r="AW21" s="6">
        <v>8.7309999999999999</v>
      </c>
      <c r="AX21" s="6">
        <v>7.2590000000000003</v>
      </c>
      <c r="AY21" s="6">
        <v>11.164</v>
      </c>
      <c r="AZ21" s="6">
        <v>10.697999999999997</v>
      </c>
      <c r="BA21" s="8">
        <v>37.851999999999997</v>
      </c>
      <c r="BB21" s="6">
        <v>8.5440000000000005</v>
      </c>
      <c r="BC21" s="6">
        <v>7.097999999999999</v>
      </c>
      <c r="BD21" s="6">
        <v>10.039999999999999</v>
      </c>
      <c r="BE21" s="6">
        <v>10.996</v>
      </c>
      <c r="BF21" s="184">
        <v>36.677999999999997</v>
      </c>
      <c r="BG21" s="6">
        <v>7.5209999999999999</v>
      </c>
      <c r="BH21" s="6">
        <v>12.026999999999999</v>
      </c>
      <c r="BJ21" s="155"/>
    </row>
    <row r="22" spans="1:62" s="17" customFormat="1" ht="16.5" customHeight="1" x14ac:dyDescent="0.4">
      <c r="A22" s="5" t="s">
        <v>75</v>
      </c>
      <c r="B22" s="5" t="s">
        <v>76</v>
      </c>
      <c r="C22" s="5"/>
      <c r="D22" s="19">
        <v>2.5960000000000001</v>
      </c>
      <c r="E22" s="19">
        <v>6.2030000000000003</v>
      </c>
      <c r="F22" s="19">
        <v>2.17</v>
      </c>
      <c r="G22" s="19">
        <v>3.488</v>
      </c>
      <c r="H22" s="7">
        <v>14.457000000000001</v>
      </c>
      <c r="I22" s="6">
        <v>5.1779999999999999</v>
      </c>
      <c r="J22" s="6">
        <v>5.0740000000000007</v>
      </c>
      <c r="K22" s="6">
        <v>3.278</v>
      </c>
      <c r="L22" s="6">
        <v>5.2629999999999999</v>
      </c>
      <c r="M22" s="7">
        <v>18.792999999999999</v>
      </c>
      <c r="N22" s="6">
        <v>6.67</v>
      </c>
      <c r="O22" s="6">
        <v>5.528999999999999</v>
      </c>
      <c r="P22" s="6">
        <v>1.727000000000001</v>
      </c>
      <c r="Q22" s="6">
        <v>5.6859999999999982</v>
      </c>
      <c r="R22" s="8">
        <v>19.611999999999998</v>
      </c>
      <c r="S22" s="6">
        <v>4.5460000000000003</v>
      </c>
      <c r="T22" s="6">
        <v>4.0900000000000007</v>
      </c>
      <c r="U22" s="6">
        <v>1.5149999999999988</v>
      </c>
      <c r="V22" s="6">
        <v>2.2510000000000012</v>
      </c>
      <c r="W22" s="8">
        <v>12.402000000000001</v>
      </c>
      <c r="X22" s="6">
        <v>4.8209999999999997</v>
      </c>
      <c r="Y22" s="6">
        <v>7.5470000000000006</v>
      </c>
      <c r="Z22" s="6">
        <v>4.7899999999999983</v>
      </c>
      <c r="AA22" s="6">
        <v>5.8560000000000016</v>
      </c>
      <c r="AB22" s="8">
        <v>23.013999999999999</v>
      </c>
      <c r="AC22" s="6">
        <v>6.4939999999999998</v>
      </c>
      <c r="AD22" s="6">
        <v>6.9020000000000001</v>
      </c>
      <c r="AE22" s="6">
        <v>1.9620000000000009</v>
      </c>
      <c r="AF22" s="6">
        <v>6.1690000000000005</v>
      </c>
      <c r="AG22" s="8">
        <v>21.527000000000001</v>
      </c>
      <c r="AH22" s="6">
        <v>7.4590000000000005</v>
      </c>
      <c r="AI22" s="6">
        <v>5.6429999999999998</v>
      </c>
      <c r="AJ22" s="6">
        <v>1.2249999999999994</v>
      </c>
      <c r="AK22" s="6">
        <v>2.0149999999999997</v>
      </c>
      <c r="AL22" s="8">
        <v>16.341999999999999</v>
      </c>
      <c r="AM22" s="6">
        <v>3.0169999999999999</v>
      </c>
      <c r="AN22" s="6">
        <v>3.1839999999999997</v>
      </c>
      <c r="AO22" s="6">
        <v>1.4650000000000005</v>
      </c>
      <c r="AP22" s="6">
        <v>6.1199999999999992</v>
      </c>
      <c r="AQ22" s="8">
        <v>13.786</v>
      </c>
      <c r="AR22" s="6">
        <v>6.9710000000000001</v>
      </c>
      <c r="AS22" s="6">
        <v>5.3330000000000011</v>
      </c>
      <c r="AT22" s="6">
        <v>1.8819999999999992</v>
      </c>
      <c r="AU22" s="6">
        <v>5.2220000000000013</v>
      </c>
      <c r="AV22" s="8">
        <v>19.408000000000001</v>
      </c>
      <c r="AW22" s="6">
        <v>4.4240000000000004</v>
      </c>
      <c r="AX22" s="6">
        <v>6.355999999999999</v>
      </c>
      <c r="AY22" s="6">
        <v>1.859</v>
      </c>
      <c r="AZ22" s="6">
        <v>6.4430000000000014</v>
      </c>
      <c r="BA22" s="8">
        <v>19.082000000000001</v>
      </c>
      <c r="BB22" s="6">
        <v>6.1749999999999998</v>
      </c>
      <c r="BC22" s="6">
        <v>7.81</v>
      </c>
      <c r="BD22" s="6">
        <v>2.4350000000000018</v>
      </c>
      <c r="BE22" s="6">
        <v>4.21</v>
      </c>
      <c r="BF22" s="184">
        <v>20.63</v>
      </c>
      <c r="BG22" s="6">
        <v>3.8980000000000001</v>
      </c>
      <c r="BH22" s="6">
        <v>6.3620000000000001</v>
      </c>
      <c r="BJ22" s="155"/>
    </row>
    <row r="23" spans="1:62" s="17" customFormat="1" ht="16.5" customHeight="1" x14ac:dyDescent="0.4">
      <c r="A23" s="38" t="s">
        <v>77</v>
      </c>
      <c r="B23" s="38" t="s">
        <v>78</v>
      </c>
      <c r="C23" s="39"/>
      <c r="D23" s="40"/>
      <c r="E23" s="40"/>
      <c r="F23" s="40"/>
      <c r="G23" s="40"/>
      <c r="H23" s="49">
        <f>SUM(H21:H22)</f>
        <v>86.699000000000012</v>
      </c>
      <c r="I23" s="48">
        <f t="shared" ref="I23:AN23" si="9">SUM(I21:I22)</f>
        <v>18.190999999999999</v>
      </c>
      <c r="J23" s="48">
        <f t="shared" si="9"/>
        <v>17.558</v>
      </c>
      <c r="K23" s="48">
        <f t="shared" si="9"/>
        <v>19.248999999999999</v>
      </c>
      <c r="L23" s="48">
        <f t="shared" si="9"/>
        <v>30.411000000000001</v>
      </c>
      <c r="M23" s="49">
        <f t="shared" si="9"/>
        <v>85.408999999999992</v>
      </c>
      <c r="N23" s="48">
        <f t="shared" si="9"/>
        <v>26.819000000000003</v>
      </c>
      <c r="O23" s="48">
        <f t="shared" si="9"/>
        <v>21.603999999999996</v>
      </c>
      <c r="P23" s="48">
        <f t="shared" si="9"/>
        <v>21.080000000000002</v>
      </c>
      <c r="Q23" s="48">
        <f t="shared" si="9"/>
        <v>26.954000000000001</v>
      </c>
      <c r="R23" s="52">
        <f t="shared" si="9"/>
        <v>96.456999999999994</v>
      </c>
      <c r="S23" s="48">
        <f t="shared" si="9"/>
        <v>23.138999999999999</v>
      </c>
      <c r="T23" s="48">
        <f t="shared" si="9"/>
        <v>24.127000000000002</v>
      </c>
      <c r="U23" s="48">
        <f t="shared" si="9"/>
        <v>24.260999999999996</v>
      </c>
      <c r="V23" s="48">
        <f t="shared" si="9"/>
        <v>23.712000000000007</v>
      </c>
      <c r="W23" s="52">
        <f t="shared" si="9"/>
        <v>95.239000000000004</v>
      </c>
      <c r="X23" s="48">
        <f t="shared" si="9"/>
        <v>24.128</v>
      </c>
      <c r="Y23" s="48">
        <f t="shared" si="9"/>
        <v>25.458000000000006</v>
      </c>
      <c r="Z23" s="48">
        <f t="shared" si="9"/>
        <v>25.890999999999998</v>
      </c>
      <c r="AA23" s="48">
        <f t="shared" si="9"/>
        <v>20.874999999999993</v>
      </c>
      <c r="AB23" s="52">
        <f t="shared" si="9"/>
        <v>96.35199999999999</v>
      </c>
      <c r="AC23" s="48">
        <f t="shared" si="9"/>
        <v>24.805</v>
      </c>
      <c r="AD23" s="48">
        <f t="shared" si="9"/>
        <v>26.024000000000001</v>
      </c>
      <c r="AE23" s="48">
        <f t="shared" si="9"/>
        <v>19.968</v>
      </c>
      <c r="AF23" s="48">
        <f t="shared" si="9"/>
        <v>26.279000000000007</v>
      </c>
      <c r="AG23" s="52">
        <f t="shared" si="9"/>
        <v>97.076000000000008</v>
      </c>
      <c r="AH23" s="48">
        <f t="shared" si="9"/>
        <v>24.431999999999999</v>
      </c>
      <c r="AI23" s="48">
        <f t="shared" si="9"/>
        <v>31.892000000000003</v>
      </c>
      <c r="AJ23" s="48">
        <f t="shared" si="9"/>
        <v>24.886999999999997</v>
      </c>
      <c r="AK23" s="48">
        <f t="shared" si="9"/>
        <v>41.831000000000003</v>
      </c>
      <c r="AL23" s="52">
        <f t="shared" si="9"/>
        <v>123.042</v>
      </c>
      <c r="AM23" s="48">
        <f t="shared" si="9"/>
        <v>28.7</v>
      </c>
      <c r="AN23" s="48">
        <f t="shared" si="9"/>
        <v>13.336999999999998</v>
      </c>
      <c r="AO23" s="48">
        <v>16.235000000000003</v>
      </c>
      <c r="AP23" s="48">
        <v>29.125999999999991</v>
      </c>
      <c r="AQ23" s="52">
        <v>87.397999999999996</v>
      </c>
      <c r="AR23" s="48">
        <v>14.390999999999998</v>
      </c>
      <c r="AS23" s="48">
        <v>14.105000000000004</v>
      </c>
      <c r="AT23" s="48">
        <v>10.807999999999998</v>
      </c>
      <c r="AU23" s="48">
        <v>18.294</v>
      </c>
      <c r="AV23" s="52">
        <v>57.597999999999999</v>
      </c>
      <c r="AW23" s="48">
        <v>13.155000000000001</v>
      </c>
      <c r="AX23" s="48">
        <v>13.614999999999998</v>
      </c>
      <c r="AY23" s="48">
        <v>13.023</v>
      </c>
      <c r="AZ23" s="48">
        <v>17.140999999999998</v>
      </c>
      <c r="BA23" s="52">
        <v>56.933999999999997</v>
      </c>
      <c r="BB23" s="48">
        <v>14.719000000000001</v>
      </c>
      <c r="BC23" s="48">
        <v>14.907999999999998</v>
      </c>
      <c r="BD23" s="48">
        <v>12.475000000000001</v>
      </c>
      <c r="BE23" s="48">
        <v>15.206</v>
      </c>
      <c r="BF23" s="191">
        <v>57.307999999999993</v>
      </c>
      <c r="BG23" s="48">
        <v>11.419</v>
      </c>
      <c r="BH23" s="48">
        <v>18.388999999999999</v>
      </c>
      <c r="BJ23" s="155"/>
    </row>
    <row r="24" spans="1:62" s="17" customFormat="1" ht="16.5" thickBot="1" x14ac:dyDescent="0.45">
      <c r="D24" s="33"/>
      <c r="F24" s="33"/>
      <c r="G24" s="33"/>
      <c r="H24" s="33"/>
      <c r="I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F24" s="33"/>
      <c r="BJ24" s="155"/>
    </row>
    <row r="25" spans="1:62" ht="16.5" thickBot="1" x14ac:dyDescent="0.45">
      <c r="A25" s="1" t="s">
        <v>79</v>
      </c>
      <c r="B25" s="1" t="s">
        <v>80</v>
      </c>
      <c r="C25" s="2"/>
      <c r="D25" s="3" t="str">
        <f>D20</f>
        <v>1T15</v>
      </c>
      <c r="E25" s="3" t="str">
        <f>E20</f>
        <v>2T15</v>
      </c>
      <c r="F25" s="3" t="str">
        <f>F20</f>
        <v>3T15</v>
      </c>
      <c r="G25" s="3" t="str">
        <f>G20</f>
        <v>4T15</v>
      </c>
      <c r="H25" s="4">
        <f>H20</f>
        <v>2015</v>
      </c>
      <c r="I25" s="3" t="str">
        <f t="shared" ref="I25:AT25" si="10">I20</f>
        <v>1T16</v>
      </c>
      <c r="J25" s="3" t="str">
        <f t="shared" si="10"/>
        <v>2T16</v>
      </c>
      <c r="K25" s="3" t="str">
        <f t="shared" si="10"/>
        <v>3T16</v>
      </c>
      <c r="L25" s="3" t="str">
        <f t="shared" si="10"/>
        <v>4T16</v>
      </c>
      <c r="M25" s="4">
        <f t="shared" si="10"/>
        <v>2016</v>
      </c>
      <c r="N25" s="3" t="str">
        <f t="shared" si="10"/>
        <v>1T17</v>
      </c>
      <c r="O25" s="3" t="str">
        <f t="shared" si="10"/>
        <v>2T17</v>
      </c>
      <c r="P25" s="3" t="str">
        <f t="shared" si="10"/>
        <v>3T17</v>
      </c>
      <c r="Q25" s="3" t="str">
        <f t="shared" si="10"/>
        <v>4T17</v>
      </c>
      <c r="R25" s="4">
        <f t="shared" si="10"/>
        <v>2017</v>
      </c>
      <c r="S25" s="3" t="str">
        <f t="shared" si="10"/>
        <v>1T18</v>
      </c>
      <c r="T25" s="3" t="str">
        <f t="shared" si="10"/>
        <v>2T18</v>
      </c>
      <c r="U25" s="3" t="str">
        <f t="shared" si="10"/>
        <v>3T18</v>
      </c>
      <c r="V25" s="3" t="str">
        <f t="shared" si="10"/>
        <v>4T18</v>
      </c>
      <c r="W25" s="4">
        <f t="shared" si="10"/>
        <v>2018</v>
      </c>
      <c r="X25" s="3" t="str">
        <f t="shared" si="10"/>
        <v>1T19</v>
      </c>
      <c r="Y25" s="3" t="str">
        <f t="shared" si="10"/>
        <v>2T19</v>
      </c>
      <c r="Z25" s="3" t="str">
        <f t="shared" si="10"/>
        <v>3T19</v>
      </c>
      <c r="AA25" s="3" t="str">
        <f t="shared" si="10"/>
        <v>4T19</v>
      </c>
      <c r="AB25" s="4">
        <f t="shared" si="10"/>
        <v>2019</v>
      </c>
      <c r="AC25" s="3" t="str">
        <f t="shared" si="10"/>
        <v>1T20</v>
      </c>
      <c r="AD25" s="3" t="str">
        <f t="shared" si="10"/>
        <v>2T20</v>
      </c>
      <c r="AE25" s="3" t="str">
        <f t="shared" si="10"/>
        <v>3T20</v>
      </c>
      <c r="AF25" s="3" t="str">
        <f t="shared" si="10"/>
        <v>4T20</v>
      </c>
      <c r="AG25" s="4">
        <f t="shared" si="10"/>
        <v>2020</v>
      </c>
      <c r="AH25" s="3" t="str">
        <f t="shared" si="10"/>
        <v>1T21</v>
      </c>
      <c r="AI25" s="3" t="str">
        <f t="shared" si="10"/>
        <v>2T21</v>
      </c>
      <c r="AJ25" s="3" t="str">
        <f t="shared" si="10"/>
        <v>3T21</v>
      </c>
      <c r="AK25" s="3" t="str">
        <f t="shared" si="10"/>
        <v>4T21</v>
      </c>
      <c r="AL25" s="4">
        <f t="shared" si="10"/>
        <v>2021</v>
      </c>
      <c r="AM25" s="3" t="str">
        <f t="shared" si="10"/>
        <v>1T22</v>
      </c>
      <c r="AN25" s="3" t="str">
        <f t="shared" si="10"/>
        <v>2T22</v>
      </c>
      <c r="AO25" s="3" t="str">
        <f t="shared" si="10"/>
        <v>3T22</v>
      </c>
      <c r="AP25" s="3" t="str">
        <f t="shared" si="10"/>
        <v>4T22</v>
      </c>
      <c r="AQ25" s="4">
        <f t="shared" si="10"/>
        <v>2022</v>
      </c>
      <c r="AR25" s="3" t="str">
        <f t="shared" si="10"/>
        <v>1T23</v>
      </c>
      <c r="AS25" s="3" t="str">
        <f t="shared" si="10"/>
        <v>2T23</v>
      </c>
      <c r="AT25" s="3" t="str">
        <f t="shared" si="10"/>
        <v>3T23</v>
      </c>
      <c r="AU25" s="3" t="s">
        <v>37</v>
      </c>
      <c r="AV25" s="4">
        <v>2023</v>
      </c>
      <c r="AW25" s="3" t="str">
        <f>AW20</f>
        <v>1T24</v>
      </c>
      <c r="AX25" s="3" t="str">
        <f t="shared" ref="AX25:BB25" si="11">AX20</f>
        <v>2T24</v>
      </c>
      <c r="AY25" s="3" t="str">
        <f t="shared" si="11"/>
        <v>3T24</v>
      </c>
      <c r="AZ25" s="3" t="str">
        <f t="shared" si="11"/>
        <v>4T24</v>
      </c>
      <c r="BA25" s="4">
        <f t="shared" si="11"/>
        <v>2024</v>
      </c>
      <c r="BB25" s="3" t="str">
        <f t="shared" si="11"/>
        <v>1T25</v>
      </c>
      <c r="BC25" s="3" t="s">
        <v>383</v>
      </c>
      <c r="BD25" s="3" t="s">
        <v>384</v>
      </c>
      <c r="BE25" s="3" t="s">
        <v>385</v>
      </c>
      <c r="BF25" s="4">
        <v>2025</v>
      </c>
      <c r="BG25" s="3" t="s">
        <v>386</v>
      </c>
      <c r="BH25" s="3" t="s">
        <v>387</v>
      </c>
      <c r="BJ25" s="155"/>
    </row>
    <row r="26" spans="1:62" s="17" customFormat="1" x14ac:dyDescent="0.4">
      <c r="A26" s="17" t="s">
        <v>81</v>
      </c>
      <c r="B26" s="17" t="s">
        <v>82</v>
      </c>
      <c r="D26" s="53"/>
      <c r="E26" s="53"/>
      <c r="F26" s="53"/>
      <c r="G26" s="53"/>
      <c r="H26" s="54">
        <v>483.07199999999995</v>
      </c>
      <c r="I26" s="53">
        <v>111.37</v>
      </c>
      <c r="J26" s="53">
        <v>106.274</v>
      </c>
      <c r="K26" s="53">
        <v>97.201999999999998</v>
      </c>
      <c r="L26" s="53">
        <v>114.00299999999999</v>
      </c>
      <c r="M26" s="54">
        <v>428.84900000000005</v>
      </c>
      <c r="N26" s="53">
        <v>114.616</v>
      </c>
      <c r="O26" s="53">
        <v>122.206</v>
      </c>
      <c r="P26" s="53">
        <v>129.84099999999998</v>
      </c>
      <c r="Q26" s="53">
        <v>148.52099999999996</v>
      </c>
      <c r="R26" s="54">
        <v>515.18399999999997</v>
      </c>
      <c r="S26" s="53">
        <v>139.97799999999998</v>
      </c>
      <c r="T26" s="53">
        <v>146.16999999999999</v>
      </c>
      <c r="U26" s="53">
        <v>156.79900000000006</v>
      </c>
      <c r="V26" s="53">
        <v>158.79699999999988</v>
      </c>
      <c r="W26" s="54">
        <v>601.74399999999991</v>
      </c>
      <c r="X26" s="53">
        <v>132.53199999999998</v>
      </c>
      <c r="Y26" s="53">
        <v>126.01999999999998</v>
      </c>
      <c r="Z26" s="53">
        <v>128.36800000000002</v>
      </c>
      <c r="AA26" s="53">
        <v>89.10899999999998</v>
      </c>
      <c r="AB26" s="54">
        <v>476.029</v>
      </c>
      <c r="AC26" s="53">
        <v>114.26599999999999</v>
      </c>
      <c r="AD26" s="53">
        <v>102.77599999999998</v>
      </c>
      <c r="AE26" s="53">
        <v>90.707000000000008</v>
      </c>
      <c r="AF26" s="53">
        <v>99.655000000000015</v>
      </c>
      <c r="AG26" s="54">
        <v>407.404</v>
      </c>
      <c r="AH26" s="53">
        <v>99.382999999999996</v>
      </c>
      <c r="AI26" s="53">
        <v>132.21600000000001</v>
      </c>
      <c r="AJ26" s="53">
        <v>158.976</v>
      </c>
      <c r="AK26" s="53">
        <v>153.99299999999999</v>
      </c>
      <c r="AL26" s="54">
        <v>544.56799999999998</v>
      </c>
      <c r="AM26" s="53">
        <v>129.77300000000002</v>
      </c>
      <c r="AN26" s="53">
        <v>208.18799999999999</v>
      </c>
      <c r="AO26" s="53">
        <v>157.541</v>
      </c>
      <c r="AP26" s="53">
        <v>129.97399999999999</v>
      </c>
      <c r="AQ26" s="54">
        <v>625.476</v>
      </c>
      <c r="AR26" s="53">
        <v>165.16</v>
      </c>
      <c r="AS26" s="53">
        <v>141.46099999999998</v>
      </c>
      <c r="AT26" s="53">
        <v>116.35900000000004</v>
      </c>
      <c r="AU26" s="53">
        <v>142.61299999999994</v>
      </c>
      <c r="AV26" s="54">
        <v>565.59299999999996</v>
      </c>
      <c r="AW26" s="53">
        <v>145.85499999999999</v>
      </c>
      <c r="AX26" s="53">
        <v>186.25500000000002</v>
      </c>
      <c r="AY26" s="53">
        <v>158.69299999999998</v>
      </c>
      <c r="AZ26" s="53">
        <v>135.42100000000005</v>
      </c>
      <c r="BA26" s="54">
        <v>626.22400000000005</v>
      </c>
      <c r="BB26" s="53">
        <v>120.57299999999999</v>
      </c>
      <c r="BC26" s="53">
        <v>131.45999999999998</v>
      </c>
      <c r="BD26" s="53">
        <v>119.01300000000001</v>
      </c>
      <c r="BE26" s="53">
        <v>115.251</v>
      </c>
      <c r="BF26" s="165">
        <v>486.29700000000003</v>
      </c>
      <c r="BG26" s="53">
        <v>102.42</v>
      </c>
      <c r="BH26" s="53">
        <v>137.886</v>
      </c>
      <c r="BJ26" s="155"/>
    </row>
    <row r="27" spans="1:62" s="17" customFormat="1" ht="16.5" thickBot="1" x14ac:dyDescent="0.45">
      <c r="A27" s="17" t="s">
        <v>77</v>
      </c>
      <c r="B27" s="17" t="s">
        <v>83</v>
      </c>
      <c r="D27" s="53"/>
      <c r="E27" s="53"/>
      <c r="F27" s="53"/>
      <c r="G27" s="53"/>
      <c r="H27" s="54">
        <v>86.699000000000012</v>
      </c>
      <c r="I27" s="53">
        <v>18.190999999999999</v>
      </c>
      <c r="J27" s="53">
        <v>17.558</v>
      </c>
      <c r="K27" s="53">
        <v>19.248999999999999</v>
      </c>
      <c r="L27" s="53">
        <v>30.411000000000001</v>
      </c>
      <c r="M27" s="54">
        <v>85.408999999999992</v>
      </c>
      <c r="N27" s="53">
        <v>26.819000000000003</v>
      </c>
      <c r="O27" s="53">
        <v>21.603999999999996</v>
      </c>
      <c r="P27" s="53">
        <v>21.080000000000002</v>
      </c>
      <c r="Q27" s="53">
        <v>26.954000000000001</v>
      </c>
      <c r="R27" s="54">
        <v>96.456999999999994</v>
      </c>
      <c r="S27" s="53">
        <v>23.138999999999999</v>
      </c>
      <c r="T27" s="53">
        <v>24.127000000000002</v>
      </c>
      <c r="U27" s="53">
        <v>24.260999999999996</v>
      </c>
      <c r="V27" s="53">
        <v>23.712000000000007</v>
      </c>
      <c r="W27" s="54">
        <v>95.239000000000004</v>
      </c>
      <c r="X27" s="53">
        <v>24.128</v>
      </c>
      <c r="Y27" s="53">
        <v>25.458000000000006</v>
      </c>
      <c r="Z27" s="53">
        <v>25.890999999999998</v>
      </c>
      <c r="AA27" s="53">
        <v>20.874999999999993</v>
      </c>
      <c r="AB27" s="54">
        <v>96.35199999999999</v>
      </c>
      <c r="AC27" s="53">
        <v>24.805</v>
      </c>
      <c r="AD27" s="53">
        <v>26.024000000000001</v>
      </c>
      <c r="AE27" s="53">
        <v>19.968</v>
      </c>
      <c r="AF27" s="53">
        <v>26.279000000000007</v>
      </c>
      <c r="AG27" s="54">
        <v>97.076000000000008</v>
      </c>
      <c r="AH27" s="53">
        <v>24.431999999999999</v>
      </c>
      <c r="AI27" s="53">
        <v>31.892000000000003</v>
      </c>
      <c r="AJ27" s="53">
        <v>24.886999999999997</v>
      </c>
      <c r="AK27" s="53">
        <v>41.831000000000003</v>
      </c>
      <c r="AL27" s="54">
        <v>123.042</v>
      </c>
      <c r="AM27" s="53">
        <v>28.7</v>
      </c>
      <c r="AN27" s="53">
        <v>13.336999999999998</v>
      </c>
      <c r="AO27" s="53">
        <v>16.235000000000003</v>
      </c>
      <c r="AP27" s="53">
        <v>29.125999999999991</v>
      </c>
      <c r="AQ27" s="54">
        <v>87.397999999999996</v>
      </c>
      <c r="AR27" s="53">
        <v>14.390999999999998</v>
      </c>
      <c r="AS27" s="53">
        <v>14.105000000000004</v>
      </c>
      <c r="AT27" s="53">
        <v>10.807999999999998</v>
      </c>
      <c r="AU27" s="53">
        <v>18.294</v>
      </c>
      <c r="AV27" s="54">
        <v>57.597999999999999</v>
      </c>
      <c r="AW27" s="53">
        <v>13.155000000000001</v>
      </c>
      <c r="AX27" s="53">
        <v>13.614999999999998</v>
      </c>
      <c r="AY27" s="53">
        <v>13.023</v>
      </c>
      <c r="AZ27" s="53">
        <v>17.140999999999998</v>
      </c>
      <c r="BA27" s="165">
        <v>56.933999999999997</v>
      </c>
      <c r="BB27" s="53">
        <v>14.719000000000001</v>
      </c>
      <c r="BC27" s="53">
        <v>14.907999999999998</v>
      </c>
      <c r="BD27" s="53">
        <v>12.475000000000001</v>
      </c>
      <c r="BE27" s="53">
        <v>15.206</v>
      </c>
      <c r="BF27" s="165">
        <v>57.307999999999993</v>
      </c>
      <c r="BG27" s="53">
        <v>11.419</v>
      </c>
      <c r="BH27" s="53">
        <v>18.388999999999999</v>
      </c>
      <c r="BJ27" s="155"/>
    </row>
    <row r="28" spans="1:62" s="17" customFormat="1" ht="16.5" customHeight="1" x14ac:dyDescent="0.4">
      <c r="A28" s="47" t="s">
        <v>84</v>
      </c>
      <c r="B28" s="47" t="s">
        <v>85</v>
      </c>
      <c r="C28" s="21"/>
      <c r="D28" s="55">
        <v>130.80500000000001</v>
      </c>
      <c r="E28" s="55">
        <v>139.28700000000001</v>
      </c>
      <c r="F28" s="55">
        <v>145.82599999999999</v>
      </c>
      <c r="G28" s="55">
        <v>153.85300000000001</v>
      </c>
      <c r="H28" s="56">
        <v>569.77099999999996</v>
      </c>
      <c r="I28" s="57">
        <v>129.56100000000001</v>
      </c>
      <c r="J28" s="57">
        <v>123.83199999999999</v>
      </c>
      <c r="K28" s="57">
        <v>116.45099999999999</v>
      </c>
      <c r="L28" s="57">
        <v>144.41399999999999</v>
      </c>
      <c r="M28" s="56">
        <v>514.25800000000004</v>
      </c>
      <c r="N28" s="57">
        <v>141.435</v>
      </c>
      <c r="O28" s="57">
        <v>143.81</v>
      </c>
      <c r="P28" s="57">
        <v>150.92099999999999</v>
      </c>
      <c r="Q28" s="57">
        <v>175.47499999999997</v>
      </c>
      <c r="R28" s="56">
        <v>611.64099999999996</v>
      </c>
      <c r="S28" s="57">
        <v>163.11699999999999</v>
      </c>
      <c r="T28" s="57">
        <v>170.297</v>
      </c>
      <c r="U28" s="57">
        <v>181.06000000000006</v>
      </c>
      <c r="V28" s="57">
        <v>182.5089999999999</v>
      </c>
      <c r="W28" s="56">
        <v>696.98299999999995</v>
      </c>
      <c r="X28" s="57">
        <v>156.66</v>
      </c>
      <c r="Y28" s="57">
        <v>151.47799999999998</v>
      </c>
      <c r="Z28" s="57">
        <v>154.25900000000001</v>
      </c>
      <c r="AA28" s="57">
        <v>109.98399999999998</v>
      </c>
      <c r="AB28" s="56">
        <v>572.38099999999997</v>
      </c>
      <c r="AC28" s="57">
        <v>139.071</v>
      </c>
      <c r="AD28" s="57">
        <v>128.79999999999998</v>
      </c>
      <c r="AE28" s="57">
        <v>110.67500000000001</v>
      </c>
      <c r="AF28" s="57">
        <v>125.93400000000003</v>
      </c>
      <c r="AG28" s="56">
        <v>504.48</v>
      </c>
      <c r="AH28" s="57">
        <v>123.815</v>
      </c>
      <c r="AI28" s="57">
        <v>164.108</v>
      </c>
      <c r="AJ28" s="57">
        <v>183.863</v>
      </c>
      <c r="AK28" s="57">
        <v>195.82400000000001</v>
      </c>
      <c r="AL28" s="56">
        <v>667.61</v>
      </c>
      <c r="AM28" s="57">
        <v>158.47300000000001</v>
      </c>
      <c r="AN28" s="57">
        <v>221.52499999999998</v>
      </c>
      <c r="AO28" s="57">
        <v>173.77600000000001</v>
      </c>
      <c r="AP28" s="57">
        <v>159.10000000000002</v>
      </c>
      <c r="AQ28" s="56">
        <v>712.87400000000002</v>
      </c>
      <c r="AR28" s="57">
        <v>179.55099999999999</v>
      </c>
      <c r="AS28" s="57">
        <v>155.56599999999997</v>
      </c>
      <c r="AT28" s="57">
        <v>127.16700000000003</v>
      </c>
      <c r="AU28" s="57">
        <v>160.90699999999995</v>
      </c>
      <c r="AV28" s="56">
        <v>623.19100000000003</v>
      </c>
      <c r="AW28" s="57">
        <v>159.01</v>
      </c>
      <c r="AX28" s="57">
        <v>199.87000000000003</v>
      </c>
      <c r="AY28" s="57">
        <v>171.71599999999998</v>
      </c>
      <c r="AZ28" s="57">
        <v>152.56200000000004</v>
      </c>
      <c r="BA28" s="56">
        <v>683.15800000000002</v>
      </c>
      <c r="BB28" s="57">
        <v>135.292</v>
      </c>
      <c r="BC28" s="57">
        <v>146.36799999999997</v>
      </c>
      <c r="BD28" s="57">
        <v>131.488</v>
      </c>
      <c r="BE28" s="57">
        <v>130.45699999999999</v>
      </c>
      <c r="BF28" s="192">
        <v>543.60500000000002</v>
      </c>
      <c r="BG28" s="57">
        <v>113.839</v>
      </c>
      <c r="BH28" s="57">
        <v>156.27500000000001</v>
      </c>
      <c r="BJ28" s="155"/>
    </row>
    <row r="29" spans="1:62" s="17" customFormat="1" ht="21" customHeight="1" x14ac:dyDescent="0.4">
      <c r="A29" s="58" t="s">
        <v>86</v>
      </c>
      <c r="B29" s="58" t="s">
        <v>87</v>
      </c>
      <c r="C29" s="21"/>
      <c r="D29" s="59">
        <v>24.675999999999998</v>
      </c>
      <c r="E29" s="59">
        <v>35.061</v>
      </c>
      <c r="F29" s="59">
        <v>38.136000000000003</v>
      </c>
      <c r="G29" s="59">
        <v>60.12</v>
      </c>
      <c r="H29" s="60">
        <v>157.99299999999999</v>
      </c>
      <c r="I29" s="59">
        <v>25.646999999999998</v>
      </c>
      <c r="J29" s="59">
        <v>19.117000000000001</v>
      </c>
      <c r="K29" s="59">
        <v>21.247</v>
      </c>
      <c r="L29" s="59">
        <v>29.405999999999999</v>
      </c>
      <c r="M29" s="60">
        <v>95.417000000000002</v>
      </c>
      <c r="N29" s="59">
        <v>30.097999999999999</v>
      </c>
      <c r="O29" s="59">
        <v>39.146000000000001</v>
      </c>
      <c r="P29" s="59">
        <v>45.42</v>
      </c>
      <c r="Q29" s="59">
        <v>55.928000000000011</v>
      </c>
      <c r="R29" s="60">
        <v>170.59200000000001</v>
      </c>
      <c r="S29" s="59">
        <v>56.058999999999997</v>
      </c>
      <c r="T29" s="59">
        <v>59.030999999999999</v>
      </c>
      <c r="U29" s="59">
        <v>65.965000000000003</v>
      </c>
      <c r="V29" s="59">
        <v>64.534999999999997</v>
      </c>
      <c r="W29" s="60">
        <v>245.59</v>
      </c>
      <c r="X29" s="59">
        <v>38.875999999999998</v>
      </c>
      <c r="Y29" s="59">
        <v>27.761000000000003</v>
      </c>
      <c r="Z29" s="59">
        <v>18.331000000000003</v>
      </c>
      <c r="AA29" s="59">
        <v>-9.811000000000007</v>
      </c>
      <c r="AB29" s="60">
        <v>75.156999999999996</v>
      </c>
      <c r="AC29" s="59">
        <v>5.4489999999999998</v>
      </c>
      <c r="AD29" s="59">
        <v>3.4239999999999995</v>
      </c>
      <c r="AE29" s="59">
        <v>-1.8229999999999995</v>
      </c>
      <c r="AF29" s="59">
        <v>6.8050000000000006</v>
      </c>
      <c r="AG29" s="60">
        <v>13.855</v>
      </c>
      <c r="AH29" s="59">
        <v>8.2409999999999997</v>
      </c>
      <c r="AI29" s="59">
        <v>32.728999999999999</v>
      </c>
      <c r="AJ29" s="59">
        <v>30.472999999999999</v>
      </c>
      <c r="AK29" s="59">
        <v>17.599000000000004</v>
      </c>
      <c r="AL29" s="60">
        <v>89.042000000000002</v>
      </c>
      <c r="AM29" s="59">
        <v>20.821999999999999</v>
      </c>
      <c r="AN29" s="59">
        <v>48.992307999999994</v>
      </c>
      <c r="AO29" s="59">
        <v>41.379692000000006</v>
      </c>
      <c r="AP29" s="59">
        <v>26.536999999999992</v>
      </c>
      <c r="AQ29" s="60">
        <v>137.73099999999999</v>
      </c>
      <c r="AR29" s="59">
        <v>25.624000000000002</v>
      </c>
      <c r="AS29" s="59">
        <v>8.1809999999999832</v>
      </c>
      <c r="AT29" s="59">
        <v>-6.1329999999999849</v>
      </c>
      <c r="AU29" s="59">
        <v>18.487999999999996</v>
      </c>
      <c r="AV29" s="60">
        <v>46.16</v>
      </c>
      <c r="AW29" s="59">
        <v>28.757000000000001</v>
      </c>
      <c r="AX29" s="59">
        <v>60.912999999999997</v>
      </c>
      <c r="AY29" s="59">
        <v>42.149999999999991</v>
      </c>
      <c r="AZ29" s="59">
        <v>6.3400000000000034</v>
      </c>
      <c r="BA29" s="60">
        <v>138.16</v>
      </c>
      <c r="BB29" s="59">
        <v>28.504999999999999</v>
      </c>
      <c r="BC29" s="59">
        <v>20.026</v>
      </c>
      <c r="BD29" s="59">
        <v>4.2689999999999984</v>
      </c>
      <c r="BE29" s="59">
        <v>3.238</v>
      </c>
      <c r="BF29" s="193">
        <v>56.036999999999999</v>
      </c>
      <c r="BG29" s="59">
        <v>-1.4119999999999999</v>
      </c>
      <c r="BH29" s="59">
        <v>22.690999999999999</v>
      </c>
      <c r="BJ29" s="155"/>
    </row>
    <row r="30" spans="1:62" s="65" customFormat="1" ht="16.5" customHeight="1" x14ac:dyDescent="0.4">
      <c r="A30" s="61" t="s">
        <v>88</v>
      </c>
      <c r="B30" s="61" t="s">
        <v>89</v>
      </c>
      <c r="C30" s="62"/>
      <c r="D30" s="63">
        <v>0.18864722296548295</v>
      </c>
      <c r="E30" s="63">
        <v>0.25171767645221738</v>
      </c>
      <c r="F30" s="63">
        <v>0.26151715057671476</v>
      </c>
      <c r="G30" s="63">
        <v>0.39076261106380761</v>
      </c>
      <c r="H30" s="64">
        <v>0.27729210507379282</v>
      </c>
      <c r="I30" s="63">
        <v>0.19795308773473497</v>
      </c>
      <c r="J30" s="63">
        <v>0.15437851282382584</v>
      </c>
      <c r="K30" s="63">
        <v>0.18245442289031438</v>
      </c>
      <c r="L30" s="63">
        <v>0.20362291744567701</v>
      </c>
      <c r="M30" s="64">
        <v>0.18554305426459092</v>
      </c>
      <c r="N30" s="63">
        <v>0.21280446848375578</v>
      </c>
      <c r="O30" s="63">
        <v>0.27220638342257147</v>
      </c>
      <c r="P30" s="63">
        <v>0.30095215377581652</v>
      </c>
      <c r="Q30" s="63">
        <v>0.31872346488103731</v>
      </c>
      <c r="R30" s="64">
        <v>0.27890870625088904</v>
      </c>
      <c r="S30" s="63">
        <v>0.33141242175861496</v>
      </c>
      <c r="T30" s="63">
        <v>0.33489139562059211</v>
      </c>
      <c r="U30" s="63">
        <v>0.33836849663095103</v>
      </c>
      <c r="V30" s="63">
        <v>0.35359900059723098</v>
      </c>
      <c r="W30" s="64">
        <v>0.35236153536025988</v>
      </c>
      <c r="X30" s="63">
        <v>0.24815524064853822</v>
      </c>
      <c r="Y30" s="63">
        <v>0.18326753720012151</v>
      </c>
      <c r="Z30" s="63">
        <v>0.11883261268386286</v>
      </c>
      <c r="AA30" s="63">
        <v>-8.9203884201338457E-2</v>
      </c>
      <c r="AB30" s="64">
        <v>0.13130589589801198</v>
      </c>
      <c r="AC30" s="63">
        <v>3.9181425315126805E-2</v>
      </c>
      <c r="AD30" s="63">
        <v>2.6583850931677019E-2</v>
      </c>
      <c r="AE30" s="63">
        <v>-1.6471651231081991E-2</v>
      </c>
      <c r="AF30" s="63">
        <v>5.4036241205710919E-2</v>
      </c>
      <c r="AG30" s="64">
        <v>2.7463923247700601E-2</v>
      </c>
      <c r="AH30" s="63">
        <v>6.6558979122077297E-2</v>
      </c>
      <c r="AI30" s="63">
        <v>0.19943573744119725</v>
      </c>
      <c r="AJ30" s="63">
        <v>0.16573753283694925</v>
      </c>
      <c r="AK30" s="63">
        <v>8.9871517280823612E-2</v>
      </c>
      <c r="AL30" s="64">
        <v>0.13337427540030855</v>
      </c>
      <c r="AM30" s="63">
        <v>0.13139146731619897</v>
      </c>
      <c r="AN30" s="63">
        <v>0.22115927321972689</v>
      </c>
      <c r="AO30" s="63">
        <v>0.23812086824417644</v>
      </c>
      <c r="AP30" s="63">
        <v>0.16679446888749208</v>
      </c>
      <c r="AQ30" s="64">
        <f t="shared" ref="AQ30:AT30" si="12">AQ29/AQ28</f>
        <v>0.19320525085779533</v>
      </c>
      <c r="AR30" s="63">
        <f t="shared" si="12"/>
        <v>0.14271154156757693</v>
      </c>
      <c r="AS30" s="63">
        <f t="shared" si="12"/>
        <v>5.2588611907486114E-2</v>
      </c>
      <c r="AT30" s="63">
        <f t="shared" si="12"/>
        <v>-4.82279207656073E-2</v>
      </c>
      <c r="AU30" s="63">
        <v>0.1148986681747842</v>
      </c>
      <c r="AV30" s="64">
        <v>7.4070389334890893E-2</v>
      </c>
      <c r="AW30" s="63">
        <f>AW29/AW28</f>
        <v>0.18085026098987486</v>
      </c>
      <c r="AX30" s="63">
        <f>AX29/AX28</f>
        <v>0.30476309601240797</v>
      </c>
      <c r="AY30" s="63">
        <f>AY29/AY28</f>
        <v>0.24546343963288217</v>
      </c>
      <c r="AZ30" s="63">
        <f t="shared" ref="AZ30:BD30" si="13">AZ29/AZ28</f>
        <v>4.1556875237608329E-2</v>
      </c>
      <c r="BA30" s="64">
        <f t="shared" si="13"/>
        <v>0.20223725697422851</v>
      </c>
      <c r="BB30" s="63">
        <f t="shared" si="13"/>
        <v>0.21069242822931142</v>
      </c>
      <c r="BC30" s="63">
        <f t="shared" si="13"/>
        <v>0.13681952339309142</v>
      </c>
      <c r="BD30" s="63">
        <f t="shared" si="13"/>
        <v>3.2466841080554865E-2</v>
      </c>
      <c r="BE30" s="63">
        <v>2.4820438918570872E-2</v>
      </c>
      <c r="BF30" s="194">
        <v>0.10308404080168504</v>
      </c>
      <c r="BG30" s="63">
        <v>-1.2403482110700199E-2</v>
      </c>
      <c r="BH30" s="63">
        <v>0.14519916813309869</v>
      </c>
      <c r="BJ30" s="155"/>
    </row>
    <row r="31" spans="1:62" s="17" customFormat="1" x14ac:dyDescent="0.4">
      <c r="A31" s="17" t="s">
        <v>90</v>
      </c>
      <c r="B31" s="17" t="s">
        <v>91</v>
      </c>
      <c r="D31" s="53">
        <v>-11.885</v>
      </c>
      <c r="E31" s="53">
        <v>-11.207000000000001</v>
      </c>
      <c r="F31" s="53">
        <v>-13.625</v>
      </c>
      <c r="G31" s="53">
        <v>-13.962999999999999</v>
      </c>
      <c r="H31" s="54">
        <v>-50.68</v>
      </c>
      <c r="I31" s="53">
        <v>-10.635</v>
      </c>
      <c r="J31" s="53">
        <v>-9.1189999999999998</v>
      </c>
      <c r="K31" s="53">
        <v>-24.535</v>
      </c>
      <c r="L31" s="53">
        <v>-12.45</v>
      </c>
      <c r="M31" s="54">
        <v>-56.738999999999997</v>
      </c>
      <c r="N31" s="53">
        <v>-12.789</v>
      </c>
      <c r="O31" s="53">
        <v>-12.255000000000001</v>
      </c>
      <c r="P31" s="53">
        <v>-13.556999999999999</v>
      </c>
      <c r="Q31" s="53">
        <v>-15.777999999999999</v>
      </c>
      <c r="R31" s="54">
        <v>-54.378999999999998</v>
      </c>
      <c r="S31" s="53">
        <v>-13.122</v>
      </c>
      <c r="T31" s="53">
        <v>-12.686</v>
      </c>
      <c r="U31" s="53">
        <v>-13.337000000000003</v>
      </c>
      <c r="V31" s="53">
        <v>-12.827999999999996</v>
      </c>
      <c r="W31" s="54">
        <v>-51.972999999999999</v>
      </c>
      <c r="X31" s="53">
        <v>-13.411</v>
      </c>
      <c r="Y31" s="53">
        <v>-13.110999999999999</v>
      </c>
      <c r="Z31" s="53">
        <v>-15.696000000000005</v>
      </c>
      <c r="AA31" s="53">
        <v>-11.600999999999999</v>
      </c>
      <c r="AB31" s="54">
        <v>-53.819000000000003</v>
      </c>
      <c r="AC31" s="53">
        <v>-13.891</v>
      </c>
      <c r="AD31" s="53">
        <v>-14.116999999999999</v>
      </c>
      <c r="AE31" s="53">
        <v>-13.824999999999999</v>
      </c>
      <c r="AF31" s="53">
        <v>-15.440000000000005</v>
      </c>
      <c r="AG31" s="54">
        <v>-57.273000000000003</v>
      </c>
      <c r="AH31" s="53">
        <v>-13.862</v>
      </c>
      <c r="AI31" s="53">
        <v>-13.223999999999998</v>
      </c>
      <c r="AJ31" s="53">
        <v>-10.813000000000002</v>
      </c>
      <c r="AK31" s="53">
        <v>-9.9329999999999998</v>
      </c>
      <c r="AL31" s="54">
        <v>-47.832000000000001</v>
      </c>
      <c r="AM31" s="53">
        <v>-9.5220000000000002</v>
      </c>
      <c r="AN31" s="53">
        <v>-10.904999999999999</v>
      </c>
      <c r="AO31" s="53">
        <v>-11.105</v>
      </c>
      <c r="AP31" s="53">
        <v>-20.538999999999998</v>
      </c>
      <c r="AQ31" s="54">
        <v>-52.070999999999998</v>
      </c>
      <c r="AR31" s="53">
        <v>-13.21</v>
      </c>
      <c r="AS31" s="53">
        <v>-13.007999999999999</v>
      </c>
      <c r="AT31" s="53">
        <v>-14.431999999999999</v>
      </c>
      <c r="AU31" s="53">
        <v>-14.945999999999998</v>
      </c>
      <c r="AV31" s="54">
        <v>-55.595999999999997</v>
      </c>
      <c r="AW31" s="53">
        <v>-15.115</v>
      </c>
      <c r="AX31" s="53">
        <v>-13.565</v>
      </c>
      <c r="AY31" s="53">
        <v>-14.667000000000002</v>
      </c>
      <c r="AZ31" s="53">
        <v>-14.576000000000001</v>
      </c>
      <c r="BA31" s="54">
        <v>-57.923000000000002</v>
      </c>
      <c r="BB31" s="53">
        <v>-11.984999999999999</v>
      </c>
      <c r="BC31" s="53">
        <v>-13.603999999999999</v>
      </c>
      <c r="BD31" s="53">
        <v>-13.536000000000001</v>
      </c>
      <c r="BE31" s="53">
        <v>-13.536</v>
      </c>
      <c r="BF31" s="165">
        <v>-52.661000000000001</v>
      </c>
      <c r="BG31" s="53">
        <v>-12.397</v>
      </c>
      <c r="BH31" s="53">
        <v>-13.875</v>
      </c>
      <c r="BJ31" s="155"/>
    </row>
    <row r="32" spans="1:62" s="17" customFormat="1" x14ac:dyDescent="0.4">
      <c r="A32" s="17" t="s">
        <v>92</v>
      </c>
      <c r="B32" s="17" t="s">
        <v>93</v>
      </c>
      <c r="D32" s="53">
        <v>-2.8540000000000001</v>
      </c>
      <c r="E32" s="53">
        <v>-1.054</v>
      </c>
      <c r="F32" s="53">
        <v>-0.92600000000000005</v>
      </c>
      <c r="G32" s="53">
        <v>-0.748</v>
      </c>
      <c r="H32" s="54">
        <v>-5.5819999999999999</v>
      </c>
      <c r="I32" s="53">
        <v>-1.081</v>
      </c>
      <c r="J32" s="53">
        <v>-1.9419999999999999</v>
      </c>
      <c r="K32" s="53">
        <v>-0.86</v>
      </c>
      <c r="L32" s="53">
        <v>-2.093</v>
      </c>
      <c r="M32" s="54">
        <v>-5.976</v>
      </c>
      <c r="N32" s="53">
        <v>-1.169</v>
      </c>
      <c r="O32" s="53">
        <v>-1.3130000000000002</v>
      </c>
      <c r="P32" s="53">
        <v>-0.10699999999999976</v>
      </c>
      <c r="Q32" s="53">
        <v>-1.4449999999999998</v>
      </c>
      <c r="R32" s="54">
        <v>-4.0339999999999998</v>
      </c>
      <c r="S32" s="53">
        <v>-1.931</v>
      </c>
      <c r="T32" s="53">
        <v>-1.6179999999999999</v>
      </c>
      <c r="U32" s="53">
        <v>-0.56699999999999973</v>
      </c>
      <c r="V32" s="53">
        <v>-1.5830000000000002</v>
      </c>
      <c r="W32" s="54">
        <v>-5.6989999999999998</v>
      </c>
      <c r="X32" s="53">
        <v>-2.1850000000000001</v>
      </c>
      <c r="Y32" s="53">
        <v>-2.347</v>
      </c>
      <c r="Z32" s="53">
        <v>-1.9560000000000004</v>
      </c>
      <c r="AA32" s="53">
        <v>-2.7830000000000004</v>
      </c>
      <c r="AB32" s="54">
        <v>-9.2710000000000008</v>
      </c>
      <c r="AC32" s="53">
        <v>-3.4359999999999999</v>
      </c>
      <c r="AD32" s="53">
        <v>-3.234</v>
      </c>
      <c r="AE32" s="53">
        <v>-0.72599999999999998</v>
      </c>
      <c r="AF32" s="53">
        <v>-2.3750000000000009</v>
      </c>
      <c r="AG32" s="54">
        <v>-9.7710000000000008</v>
      </c>
      <c r="AH32" s="53">
        <v>-3.0390000000000001</v>
      </c>
      <c r="AI32" s="53">
        <v>-3.3820000000000001</v>
      </c>
      <c r="AJ32" s="53">
        <v>-2.1179999999999994</v>
      </c>
      <c r="AK32" s="53">
        <v>-2.8919999999999995</v>
      </c>
      <c r="AL32" s="54">
        <v>-11.430999999999999</v>
      </c>
      <c r="AM32" s="53">
        <v>-1.72</v>
      </c>
      <c r="AN32" s="53">
        <v>-2.2510000000000003</v>
      </c>
      <c r="AO32" s="53">
        <v>-1.1849999999999996</v>
      </c>
      <c r="AP32" s="53">
        <v>-1.8040000000000003</v>
      </c>
      <c r="AQ32" s="54">
        <v>-6.96</v>
      </c>
      <c r="AR32" s="53">
        <v>-2.3069999999999999</v>
      </c>
      <c r="AS32" s="53">
        <v>-2.7260000000000004</v>
      </c>
      <c r="AT32" s="53">
        <v>-1.8899999999999997</v>
      </c>
      <c r="AU32" s="53">
        <v>-1.8740000000000006</v>
      </c>
      <c r="AV32" s="54">
        <v>-8.7970000000000006</v>
      </c>
      <c r="AW32" s="53">
        <v>-2.819</v>
      </c>
      <c r="AX32" s="53">
        <v>-3.4699999999999998</v>
      </c>
      <c r="AY32" s="53">
        <v>-1.2700000000000005</v>
      </c>
      <c r="AZ32" s="53">
        <v>-2.1659999999999995</v>
      </c>
      <c r="BA32" s="54">
        <v>-9.7249999999999996</v>
      </c>
      <c r="BB32" s="53">
        <v>-2.726</v>
      </c>
      <c r="BC32" s="53">
        <v>-2.5060000000000002</v>
      </c>
      <c r="BD32" s="53">
        <v>-0.875</v>
      </c>
      <c r="BE32" s="53">
        <v>-1.109</v>
      </c>
      <c r="BF32" s="165">
        <v>-7.2160000000000002</v>
      </c>
      <c r="BG32" s="53">
        <v>-0.82899999999999996</v>
      </c>
      <c r="BH32" s="53">
        <v>-1.5249999999999999</v>
      </c>
      <c r="BJ32" s="155"/>
    </row>
    <row r="33" spans="1:62" s="17" customFormat="1" x14ac:dyDescent="0.4">
      <c r="A33" s="17" t="s">
        <v>94</v>
      </c>
      <c r="B33" s="17" t="s">
        <v>95</v>
      </c>
      <c r="D33" s="6">
        <v>1.0920000000000001</v>
      </c>
      <c r="E33" s="6">
        <v>-1.02</v>
      </c>
      <c r="F33" s="6">
        <v>3.2120000000000002</v>
      </c>
      <c r="G33" s="6">
        <v>2.6479775369589023</v>
      </c>
      <c r="H33" s="66">
        <v>5.9319775369589021</v>
      </c>
      <c r="I33" s="6">
        <v>7.5999999999999998E-2</v>
      </c>
      <c r="J33" s="6">
        <v>0.39500000000000002</v>
      </c>
      <c r="K33" s="6">
        <v>18.539000000000001</v>
      </c>
      <c r="L33" s="6">
        <v>1.1879999999999999</v>
      </c>
      <c r="M33" s="66">
        <v>20.198</v>
      </c>
      <c r="N33" s="6">
        <v>1.9019999999999999</v>
      </c>
      <c r="O33" s="6">
        <v>2.2749999999999995</v>
      </c>
      <c r="P33" s="6">
        <v>1.5470000000000006</v>
      </c>
      <c r="Q33" s="6">
        <v>3.468</v>
      </c>
      <c r="R33" s="66">
        <v>9.1920000000000002</v>
      </c>
      <c r="S33" s="6">
        <v>2.399</v>
      </c>
      <c r="T33" s="6">
        <v>3.4859999999999998</v>
      </c>
      <c r="U33" s="6">
        <v>1.4050000000000002</v>
      </c>
      <c r="V33" s="6">
        <v>4.3329999999999993</v>
      </c>
      <c r="W33" s="66">
        <v>11.622999999999999</v>
      </c>
      <c r="X33" s="6">
        <v>0.69899999999999995</v>
      </c>
      <c r="Y33" s="6">
        <v>1.0169999999999999</v>
      </c>
      <c r="Z33" s="6">
        <v>0.45600000000000018</v>
      </c>
      <c r="AA33" s="6">
        <v>0.16799999999999971</v>
      </c>
      <c r="AB33" s="66">
        <v>2.34</v>
      </c>
      <c r="AC33" s="6">
        <v>0.94299999999999995</v>
      </c>
      <c r="AD33" s="6">
        <v>-0.10399999999999998</v>
      </c>
      <c r="AE33" s="6">
        <v>-0.36899999999999999</v>
      </c>
      <c r="AF33" s="6">
        <v>-0.24499999999999997</v>
      </c>
      <c r="AG33" s="66">
        <v>0.22500000000000001</v>
      </c>
      <c r="AH33" s="6">
        <v>-0.38100000000000001</v>
      </c>
      <c r="AI33" s="6">
        <v>-189.02600000000001</v>
      </c>
      <c r="AJ33" s="6">
        <v>-1.6079999999999757</v>
      </c>
      <c r="AK33" s="6">
        <v>-1.4260000000000161</v>
      </c>
      <c r="AL33" s="66">
        <v>-192.441</v>
      </c>
      <c r="AM33" s="6">
        <v>-0.75800000000000001</v>
      </c>
      <c r="AN33" s="6">
        <v>-0.30200000000000005</v>
      </c>
      <c r="AO33" s="6">
        <v>-1.6680000000000001</v>
      </c>
      <c r="AP33" s="6">
        <v>187.232</v>
      </c>
      <c r="AQ33" s="66">
        <v>184.50399999999999</v>
      </c>
      <c r="AR33" s="6">
        <v>-0.219</v>
      </c>
      <c r="AS33" s="6">
        <v>-0.28600000000000003</v>
      </c>
      <c r="AT33" s="6">
        <v>-0.24</v>
      </c>
      <c r="AU33" s="6">
        <v>-0.22099999999999997</v>
      </c>
      <c r="AV33" s="66">
        <v>-0.96599999999999997</v>
      </c>
      <c r="AW33" s="6">
        <v>-0.34599999999999997</v>
      </c>
      <c r="AX33" s="6">
        <v>-0.30900000000000005</v>
      </c>
      <c r="AY33" s="6">
        <v>-0.22599999999999998</v>
      </c>
      <c r="AZ33" s="6">
        <v>-0.83200000000000007</v>
      </c>
      <c r="BA33" s="66">
        <v>-1.7130000000000001</v>
      </c>
      <c r="BB33" s="6">
        <v>-7.9000000000000001E-2</v>
      </c>
      <c r="BC33" s="6">
        <v>3.4000000000000002E-2</v>
      </c>
      <c r="BD33" s="6">
        <v>-9.5000000000000015E-2</v>
      </c>
      <c r="BE33" s="6">
        <v>8.2000000000000003E-2</v>
      </c>
      <c r="BF33" s="160">
        <v>-5.8000000000000003E-2</v>
      </c>
      <c r="BG33" s="6">
        <v>8.9999999999999993E-3</v>
      </c>
      <c r="BH33" s="6">
        <v>2E-3</v>
      </c>
      <c r="BJ33" s="155"/>
    </row>
    <row r="34" spans="1:62" s="17" customFormat="1" x14ac:dyDescent="0.4">
      <c r="A34" s="17" t="s">
        <v>96</v>
      </c>
      <c r="B34" s="17" t="s">
        <v>97</v>
      </c>
      <c r="D34" s="53"/>
      <c r="E34" s="53"/>
      <c r="F34" s="53"/>
      <c r="G34" s="53"/>
      <c r="H34" s="54"/>
      <c r="I34" s="53"/>
      <c r="J34" s="53"/>
      <c r="K34" s="53"/>
      <c r="L34" s="53"/>
      <c r="M34" s="54"/>
      <c r="N34" s="53"/>
      <c r="O34" s="53"/>
      <c r="P34" s="53"/>
      <c r="Q34" s="53"/>
      <c r="R34" s="54"/>
      <c r="S34" s="53">
        <v>-2</v>
      </c>
      <c r="T34" s="53">
        <v>-2</v>
      </c>
      <c r="U34" s="53">
        <v>-2</v>
      </c>
      <c r="V34" s="53">
        <v>-9.6999999999999993</v>
      </c>
      <c r="W34" s="54">
        <v>-15.7</v>
      </c>
      <c r="X34" s="53">
        <v>-1.05</v>
      </c>
      <c r="Y34" s="53">
        <v>-1.05</v>
      </c>
      <c r="Z34" s="53">
        <v>-1.0499999999999998</v>
      </c>
      <c r="AA34" s="53">
        <v>-0.85000000000000009</v>
      </c>
      <c r="AB34" s="54">
        <v>-4</v>
      </c>
      <c r="AC34" s="53">
        <v>-1.25</v>
      </c>
      <c r="AD34" s="53">
        <v>-1.25</v>
      </c>
      <c r="AE34" s="53">
        <v>-1.25</v>
      </c>
      <c r="AF34" s="53">
        <v>-1.25</v>
      </c>
      <c r="AG34" s="54">
        <v>-5</v>
      </c>
      <c r="AH34" s="53">
        <v>-1.25</v>
      </c>
      <c r="AI34" s="53">
        <v>6.2969999999999997</v>
      </c>
      <c r="AJ34" s="53">
        <v>0</v>
      </c>
      <c r="AK34" s="53">
        <v>-0.80999999999999961</v>
      </c>
      <c r="AL34" s="54">
        <v>4.2370000000000001</v>
      </c>
      <c r="AM34" s="53">
        <v>-5.7000000000000002E-2</v>
      </c>
      <c r="AN34" s="53">
        <v>-6.4000000000000001E-2</v>
      </c>
      <c r="AO34" s="53">
        <v>0.121</v>
      </c>
      <c r="AP34" s="53">
        <v>-14.879</v>
      </c>
      <c r="AQ34" s="54">
        <v>-14.879</v>
      </c>
      <c r="AR34" s="53">
        <v>0</v>
      </c>
      <c r="AS34" s="53">
        <v>-6.5759999999999996</v>
      </c>
      <c r="AT34" s="53">
        <v>0.9319999999999995</v>
      </c>
      <c r="AU34" s="53">
        <v>9.3260000000000005</v>
      </c>
      <c r="AV34" s="54">
        <v>3.6819999999999999</v>
      </c>
      <c r="AW34" s="53">
        <v>0</v>
      </c>
      <c r="AX34" s="53">
        <v>-1.2689999999999999</v>
      </c>
      <c r="AY34" s="53">
        <v>-0.71900000000000008</v>
      </c>
      <c r="AZ34" s="53">
        <v>5.8230000000000004</v>
      </c>
      <c r="BA34" s="54">
        <v>3.835</v>
      </c>
      <c r="BB34" s="53">
        <v>0</v>
      </c>
      <c r="BC34" s="53">
        <v>-1.071</v>
      </c>
      <c r="BD34" s="53">
        <v>-1.849</v>
      </c>
      <c r="BE34" s="53">
        <v>-23.242000000000001</v>
      </c>
      <c r="BF34" s="165">
        <v>-26.161999999999999</v>
      </c>
      <c r="BG34" s="53">
        <v>2.1640000000000001</v>
      </c>
      <c r="BH34" s="53">
        <v>0</v>
      </c>
      <c r="BJ34" s="155"/>
    </row>
    <row r="35" spans="1:62" s="17" customFormat="1" x14ac:dyDescent="0.4">
      <c r="A35" s="58" t="s">
        <v>98</v>
      </c>
      <c r="B35" s="58" t="s">
        <v>98</v>
      </c>
      <c r="C35" s="21"/>
      <c r="D35" s="59">
        <v>11.029</v>
      </c>
      <c r="E35" s="59">
        <v>21.78</v>
      </c>
      <c r="F35" s="59">
        <v>26.797000000000001</v>
      </c>
      <c r="G35" s="59">
        <v>48.056977536958904</v>
      </c>
      <c r="H35" s="60">
        <v>107.66297753695891</v>
      </c>
      <c r="I35" s="59">
        <v>14.007</v>
      </c>
      <c r="J35" s="59">
        <v>8.4510000000000005</v>
      </c>
      <c r="K35" s="59">
        <v>14.391</v>
      </c>
      <c r="L35" s="59">
        <v>16.050999999999998</v>
      </c>
      <c r="M35" s="60">
        <v>52.9</v>
      </c>
      <c r="N35" s="59">
        <v>18.042000000000002</v>
      </c>
      <c r="O35" s="59">
        <v>27.853000000000002</v>
      </c>
      <c r="P35" s="59">
        <v>33.30299999999999</v>
      </c>
      <c r="Q35" s="59">
        <v>42.173000000000002</v>
      </c>
      <c r="R35" s="60">
        <v>121.371</v>
      </c>
      <c r="S35" s="59">
        <v>41.405000000000001</v>
      </c>
      <c r="T35" s="59">
        <v>46.21299999999998</v>
      </c>
      <c r="U35" s="59">
        <v>51.466000000000001</v>
      </c>
      <c r="V35" s="59">
        <v>44.757000000000005</v>
      </c>
      <c r="W35" s="60">
        <v>183.84100000000001</v>
      </c>
      <c r="X35" s="59">
        <v>22.928999999999998</v>
      </c>
      <c r="Y35" s="59">
        <v>12.27</v>
      </c>
      <c r="Z35" s="59">
        <v>8.5000000000000853E-2</v>
      </c>
      <c r="AA35" s="59">
        <v>-24.876999999999999</v>
      </c>
      <c r="AB35" s="60">
        <v>10.407</v>
      </c>
      <c r="AC35" s="59">
        <v>-12.185</v>
      </c>
      <c r="AD35" s="59">
        <v>-15.281000000000001</v>
      </c>
      <c r="AE35" s="59">
        <v>-17.993000000000002</v>
      </c>
      <c r="AF35" s="59">
        <v>-12.504999999999995</v>
      </c>
      <c r="AG35" s="60">
        <v>-57.963999999999999</v>
      </c>
      <c r="AH35" s="59">
        <v>-10.291</v>
      </c>
      <c r="AI35" s="59">
        <v>-166.60599999999999</v>
      </c>
      <c r="AJ35" s="59">
        <v>15.933999999999997</v>
      </c>
      <c r="AK35" s="59">
        <v>2.5379999999999825</v>
      </c>
      <c r="AL35" s="60">
        <v>-158.42500000000001</v>
      </c>
      <c r="AM35" s="59">
        <v>8.7650000000000006</v>
      </c>
      <c r="AN35" s="59">
        <v>35.470307999999989</v>
      </c>
      <c r="AO35" s="59">
        <v>27.542692000000017</v>
      </c>
      <c r="AP35" s="59">
        <v>176.54699999999997</v>
      </c>
      <c r="AQ35" s="60">
        <v>248.32499999999999</v>
      </c>
      <c r="AR35" s="59">
        <v>9.8880000000000017</v>
      </c>
      <c r="AS35" s="59">
        <v>-14.415000000000017</v>
      </c>
      <c r="AT35" s="59">
        <v>-21.762999999999984</v>
      </c>
      <c r="AU35" s="59">
        <v>10.773</v>
      </c>
      <c r="AV35" s="60">
        <v>-15.516999999999999</v>
      </c>
      <c r="AW35" s="59">
        <v>10.477</v>
      </c>
      <c r="AX35" s="59">
        <v>42.3</v>
      </c>
      <c r="AY35" s="59">
        <v>25.268000000000001</v>
      </c>
      <c r="AZ35" s="59">
        <v>-5.4110000000000014</v>
      </c>
      <c r="BA35" s="60">
        <v>72.634</v>
      </c>
      <c r="BB35" s="59">
        <v>13.715</v>
      </c>
      <c r="BC35" s="59">
        <v>2.8790000000000013</v>
      </c>
      <c r="BD35" s="59">
        <v>-12.086</v>
      </c>
      <c r="BE35" s="59">
        <v>-34.567</v>
      </c>
      <c r="BF35" s="193">
        <v>-30.060000000000002</v>
      </c>
      <c r="BG35" s="59">
        <v>-12.465000000000002</v>
      </c>
      <c r="BH35" s="59">
        <v>7.2929999999999984</v>
      </c>
      <c r="BJ35" s="155"/>
    </row>
    <row r="36" spans="1:62" s="65" customFormat="1" ht="16.5" customHeight="1" x14ac:dyDescent="0.4">
      <c r="A36" s="61" t="s">
        <v>99</v>
      </c>
      <c r="B36" s="61" t="s">
        <v>100</v>
      </c>
      <c r="C36" s="62"/>
      <c r="D36" s="63">
        <v>8.4316348763426474E-2</v>
      </c>
      <c r="E36" s="63">
        <v>0.1563677873742704</v>
      </c>
      <c r="F36" s="63">
        <v>0.18376009765062473</v>
      </c>
      <c r="G36" s="63">
        <v>0.31235645412802415</v>
      </c>
      <c r="H36" s="64">
        <v>0.18895833156997971</v>
      </c>
      <c r="I36" s="63">
        <v>0.10811123717785444</v>
      </c>
      <c r="J36" s="63">
        <v>6.8245687705924166E-2</v>
      </c>
      <c r="K36" s="63">
        <v>0.12357987479712498</v>
      </c>
      <c r="L36" s="63">
        <v>0.11114573379312255</v>
      </c>
      <c r="M36" s="64">
        <v>0.10286665448082478</v>
      </c>
      <c r="N36" s="63">
        <v>0.12756389861066922</v>
      </c>
      <c r="O36" s="63">
        <v>0.19367916000278146</v>
      </c>
      <c r="P36" s="63">
        <v>0.22066511618661414</v>
      </c>
      <c r="Q36" s="63">
        <v>0.24033623023222686</v>
      </c>
      <c r="R36" s="64">
        <v>0.1984350296987939</v>
      </c>
      <c r="S36" s="63">
        <v>0.25383620346131919</v>
      </c>
      <c r="T36" s="63">
        <v>0.27136708221518863</v>
      </c>
      <c r="U36" s="63">
        <v>0.2693361316690599</v>
      </c>
      <c r="V36" s="63">
        <v>0.24523174199628528</v>
      </c>
      <c r="W36" s="64">
        <v>0.26376683505910475</v>
      </c>
      <c r="X36" s="63">
        <v>0.1463615472998851</v>
      </c>
      <c r="Y36" s="63">
        <v>8.1001861656478172E-2</v>
      </c>
      <c r="Z36" s="63">
        <v>5.5102133424954683E-4</v>
      </c>
      <c r="AA36" s="63">
        <v>-0.22618744544661046</v>
      </c>
      <c r="AB36" s="64">
        <v>1.8181945242766621E-2</v>
      </c>
      <c r="AC36" s="63">
        <v>-8.7617116436927905E-2</v>
      </c>
      <c r="AD36" s="63">
        <v>-0.1186413043478261</v>
      </c>
      <c r="AE36" s="63">
        <v>-0.16257510729613733</v>
      </c>
      <c r="AF36" s="63">
        <v>-9.9298045007702396E-2</v>
      </c>
      <c r="AG36" s="64">
        <v>-0.11489850935616872</v>
      </c>
      <c r="AH36" s="63">
        <v>-8.3115939102693534E-2</v>
      </c>
      <c r="AI36" s="63">
        <v>-1.0152216832817413</v>
      </c>
      <c r="AJ36" s="63">
        <v>8.6662351859808653E-2</v>
      </c>
      <c r="AK36" s="63">
        <v>1.2960617697524218E-2</v>
      </c>
      <c r="AL36" s="64">
        <v>-0.23730171806893247</v>
      </c>
      <c r="AM36" s="63">
        <v>5.5309106283089229E-2</v>
      </c>
      <c r="AN36" s="63">
        <v>0.16011875860512353</v>
      </c>
      <c r="AO36" s="63">
        <v>0.15849537335420319</v>
      </c>
      <c r="AP36" s="63">
        <v>1.1096605908233812</v>
      </c>
      <c r="AQ36" s="64">
        <f t="shared" ref="AQ36:AT36" si="14">AQ35/AQ28</f>
        <v>0.34834346602625427</v>
      </c>
      <c r="AR36" s="63">
        <f t="shared" si="14"/>
        <v>5.5070704145340335E-2</v>
      </c>
      <c r="AS36" s="63">
        <f t="shared" si="14"/>
        <v>-9.2661635575897169E-2</v>
      </c>
      <c r="AT36" s="63">
        <f t="shared" si="14"/>
        <v>-0.17113716608868637</v>
      </c>
      <c r="AU36" s="63">
        <v>6.6951717451695716E-2</v>
      </c>
      <c r="AV36" s="64">
        <v>-2.48992684425802E-2</v>
      </c>
      <c r="AW36" s="63">
        <f>AW35/AW28</f>
        <v>6.5888937802653924E-2</v>
      </c>
      <c r="AX36" s="63">
        <f>AX35/AX28</f>
        <v>0.21163756441687093</v>
      </c>
      <c r="AY36" s="63">
        <f>AY35/AY28</f>
        <v>0.14714994525845002</v>
      </c>
      <c r="AZ36" s="63">
        <f t="shared" ref="AZ36:BD36" si="15">AZ35/AZ28</f>
        <v>-3.5467547619984004E-2</v>
      </c>
      <c r="BA36" s="64">
        <f t="shared" si="15"/>
        <v>0.10632093893359955</v>
      </c>
      <c r="BB36" s="63">
        <f t="shared" si="15"/>
        <v>0.10137332584336102</v>
      </c>
      <c r="BC36" s="63">
        <f t="shared" si="15"/>
        <v>1.9669599912549206E-2</v>
      </c>
      <c r="BD36" s="63">
        <f t="shared" si="15"/>
        <v>-9.1917133122414216E-2</v>
      </c>
      <c r="BE36" s="63">
        <v>-0.26496853369309431</v>
      </c>
      <c r="BF36" s="194">
        <v>-5.5297504621922171E-2</v>
      </c>
      <c r="BG36" s="63">
        <v>-0.10949674540359633</v>
      </c>
      <c r="BH36" s="63">
        <v>4.6667733162693958E-2</v>
      </c>
      <c r="BJ36" s="155"/>
    </row>
    <row r="37" spans="1:62" s="17" customFormat="1" ht="19.399999999999999" customHeight="1" x14ac:dyDescent="0.4">
      <c r="A37" s="17" t="s">
        <v>101</v>
      </c>
      <c r="B37" s="17" t="s">
        <v>102</v>
      </c>
      <c r="D37" s="6">
        <v>-4.6959999999999997</v>
      </c>
      <c r="E37" s="6">
        <v>-7.0830000000000002</v>
      </c>
      <c r="F37" s="6">
        <v>-5.3</v>
      </c>
      <c r="G37" s="6">
        <v>-23.357999999999997</v>
      </c>
      <c r="H37" s="66">
        <v>-40.436999999999998</v>
      </c>
      <c r="I37" s="6">
        <v>-3.6960000000000002</v>
      </c>
      <c r="J37" s="6">
        <v>-3.5220000000000002</v>
      </c>
      <c r="K37" s="6">
        <v>-3.4339999999999997</v>
      </c>
      <c r="L37" s="6">
        <v>-3.7369999999999997</v>
      </c>
      <c r="M37" s="66">
        <v>-14.388999999999999</v>
      </c>
      <c r="N37" s="6">
        <v>-3.5220000000000002</v>
      </c>
      <c r="O37" s="6">
        <v>-3.5049999999999999</v>
      </c>
      <c r="P37" s="6">
        <v>-3.8289999999999988</v>
      </c>
      <c r="Q37" s="6">
        <v>-3.3369999999999997</v>
      </c>
      <c r="R37" s="66">
        <v>-14.198999999999998</v>
      </c>
      <c r="S37" s="6">
        <v>-3.3740000000000006</v>
      </c>
      <c r="T37" s="6">
        <v>-20.89</v>
      </c>
      <c r="U37" s="6">
        <v>-1.2989999999999973</v>
      </c>
      <c r="V37" s="6">
        <v>-1.424000000000003</v>
      </c>
      <c r="W37" s="66">
        <v>-26.987000000000002</v>
      </c>
      <c r="X37" s="6">
        <v>-2.0739999999999998</v>
      </c>
      <c r="Y37" s="6">
        <v>-2.0599999999999996</v>
      </c>
      <c r="Z37" s="6">
        <v>-2.2790000000000012</v>
      </c>
      <c r="AA37" s="6">
        <v>-2.4099999999999997</v>
      </c>
      <c r="AB37" s="66">
        <v>-8.8230000000000004</v>
      </c>
      <c r="AC37" s="6">
        <v>-2.5499999999999998</v>
      </c>
      <c r="AD37" s="6">
        <v>-2.8250000000000002</v>
      </c>
      <c r="AE37" s="6">
        <v>-3.5069999999999988</v>
      </c>
      <c r="AF37" s="6">
        <v>-3.2470000000000012</v>
      </c>
      <c r="AG37" s="66">
        <v>-12.129000000000001</v>
      </c>
      <c r="AH37" s="6">
        <v>-2.3140000000000001</v>
      </c>
      <c r="AI37" s="6">
        <v>-2.3969999999999998</v>
      </c>
      <c r="AJ37" s="6">
        <v>-4.1859999999999999</v>
      </c>
      <c r="AK37" s="6">
        <v>-0.70000000000000107</v>
      </c>
      <c r="AL37" s="66">
        <v>-9.5970000000000013</v>
      </c>
      <c r="AM37" s="6">
        <v>-1.032</v>
      </c>
      <c r="AN37" s="6">
        <v>-3.4890000000000003</v>
      </c>
      <c r="AO37" s="6">
        <v>-1.8790000000000007</v>
      </c>
      <c r="AP37" s="6">
        <v>-3.5059999999999993</v>
      </c>
      <c r="AQ37" s="66">
        <v>-9.9060000000000006</v>
      </c>
      <c r="AR37" s="6">
        <v>-2.2509999999999999</v>
      </c>
      <c r="AS37" s="6">
        <v>-4.3000000000000007</v>
      </c>
      <c r="AT37" s="6">
        <v>-4.7349999999999994</v>
      </c>
      <c r="AU37" s="6">
        <v>-6.1089999999999982</v>
      </c>
      <c r="AV37" s="66">
        <v>-17.395</v>
      </c>
      <c r="AW37" s="6">
        <v>-5.3709999999999996</v>
      </c>
      <c r="AX37" s="6">
        <v>-4.1500000000000004</v>
      </c>
      <c r="AY37" s="6">
        <v>-4.5820000000000007</v>
      </c>
      <c r="AZ37" s="6">
        <v>-4.5049999999999999</v>
      </c>
      <c r="BA37" s="66">
        <v>-18.608000000000001</v>
      </c>
      <c r="BB37" s="6">
        <v>-4.3479999999999999</v>
      </c>
      <c r="BC37" s="6">
        <v>-6.7190000000000003</v>
      </c>
      <c r="BD37" s="6">
        <v>-4.4460000000000015</v>
      </c>
      <c r="BE37" s="6">
        <v>-7.9930000000000003</v>
      </c>
      <c r="BF37" s="160">
        <v>-23.506</v>
      </c>
      <c r="BG37" s="6">
        <v>-4.6710000000000003</v>
      </c>
      <c r="BH37" s="6">
        <v>-5.1539999999999999</v>
      </c>
      <c r="BJ37" s="155"/>
    </row>
    <row r="38" spans="1:62" s="17" customFormat="1" x14ac:dyDescent="0.4">
      <c r="A38" s="17" t="s">
        <v>103</v>
      </c>
      <c r="B38" s="17" t="s">
        <v>104</v>
      </c>
      <c r="D38" s="68">
        <v>2.4220000000000002</v>
      </c>
      <c r="E38" s="6">
        <v>-0.76500000000000057</v>
      </c>
      <c r="F38" s="6">
        <v>-1.0010000000000021</v>
      </c>
      <c r="G38" s="6">
        <v>-2.1450000000000031</v>
      </c>
      <c r="H38" s="54">
        <v>-1.4890000000000043</v>
      </c>
      <c r="I38" s="6">
        <v>-2.085</v>
      </c>
      <c r="J38" s="6">
        <v>0.89700000000000002</v>
      </c>
      <c r="K38" s="68">
        <v>-0.36</v>
      </c>
      <c r="L38" s="6">
        <v>-0.312</v>
      </c>
      <c r="M38" s="54">
        <v>-1.86</v>
      </c>
      <c r="N38" s="6">
        <v>-1.1460000000000008</v>
      </c>
      <c r="O38" s="6">
        <v>5.7279999999999989</v>
      </c>
      <c r="P38" s="6">
        <v>-7.1999999999990294E-2</v>
      </c>
      <c r="Q38" s="6">
        <v>-0.8110000000000106</v>
      </c>
      <c r="R38" s="54">
        <v>3.7049999999999983</v>
      </c>
      <c r="S38" s="6">
        <v>-0.19800000000000217</v>
      </c>
      <c r="T38" s="6">
        <v>8.0529999999999973</v>
      </c>
      <c r="U38" s="6">
        <v>-0.12499999999999512</v>
      </c>
      <c r="V38" s="6">
        <v>-5.3000000000000824E-2</v>
      </c>
      <c r="W38" s="54">
        <v>7.6769999999999996</v>
      </c>
      <c r="X38" s="6">
        <v>1.2900000000000009</v>
      </c>
      <c r="Y38" s="6">
        <v>-0.71999999999999797</v>
      </c>
      <c r="Z38" s="6">
        <v>1.7329999999999983</v>
      </c>
      <c r="AA38" s="6">
        <v>-0.95299999999999985</v>
      </c>
      <c r="AB38" s="54">
        <v>1.3500000000000005</v>
      </c>
      <c r="AC38" s="6">
        <v>0.95900000000000052</v>
      </c>
      <c r="AD38" s="6">
        <v>-0.43599999999999728</v>
      </c>
      <c r="AE38" s="6">
        <v>-0.81399999999999917</v>
      </c>
      <c r="AF38" s="6">
        <v>-0.81999999999999895</v>
      </c>
      <c r="AG38" s="54">
        <v>-1.1109999999999935</v>
      </c>
      <c r="AH38" s="6">
        <v>1.8170000000000002</v>
      </c>
      <c r="AI38" s="6">
        <v>-0.33299999999998997</v>
      </c>
      <c r="AJ38" s="6">
        <v>1.1369999999999933</v>
      </c>
      <c r="AK38" s="6">
        <v>1.1080000000000165</v>
      </c>
      <c r="AL38" s="54">
        <v>3.7290000000000063</v>
      </c>
      <c r="AM38" s="6">
        <v>0.55699999999999861</v>
      </c>
      <c r="AN38" s="6">
        <v>1.470000000000002</v>
      </c>
      <c r="AO38" s="6">
        <v>1.4579999999999942</v>
      </c>
      <c r="AP38" s="6">
        <v>-2.1299999999999679</v>
      </c>
      <c r="AQ38" s="54">
        <v>1.3550000000000129</v>
      </c>
      <c r="AR38" s="6">
        <v>-0.40399999999999769</v>
      </c>
      <c r="AS38" s="6">
        <v>-2.2000000000000242E-2</v>
      </c>
      <c r="AT38" s="6">
        <v>0.35499999999998266</v>
      </c>
      <c r="AU38" s="6">
        <v>-0.91199999999999903</v>
      </c>
      <c r="AV38" s="54">
        <v>-0.98100000000000165</v>
      </c>
      <c r="AW38" s="6">
        <v>0.55099999999999927</v>
      </c>
      <c r="AX38" s="6">
        <v>0.35199999999999854</v>
      </c>
      <c r="AY38" s="6">
        <v>-1.8689999999999998</v>
      </c>
      <c r="AZ38" s="6">
        <v>2.1660000000000013</v>
      </c>
      <c r="BA38" s="54">
        <v>1.1999999999999993</v>
      </c>
      <c r="BB38" s="6">
        <v>-1.1960000000000006</v>
      </c>
      <c r="BC38" s="6">
        <v>-2.5539999999999994</v>
      </c>
      <c r="BD38" s="6">
        <v>-0.10799999999999876</v>
      </c>
      <c r="BE38" s="6">
        <v>-6.4000000000001833E-2</v>
      </c>
      <c r="BF38" s="165">
        <v>-3.9220000000000006</v>
      </c>
      <c r="BG38" s="6">
        <v>0.53200000000000092</v>
      </c>
      <c r="BH38" s="6">
        <v>0.49000000000000021</v>
      </c>
      <c r="BJ38" s="155"/>
    </row>
    <row r="39" spans="1:62" s="17" customFormat="1" x14ac:dyDescent="0.4">
      <c r="A39" s="47" t="s">
        <v>105</v>
      </c>
      <c r="B39" s="47" t="s">
        <v>106</v>
      </c>
      <c r="C39" s="21"/>
      <c r="D39" s="48">
        <v>8.7550000000000008</v>
      </c>
      <c r="E39" s="48">
        <v>13.932</v>
      </c>
      <c r="F39" s="48">
        <v>20.495999999999999</v>
      </c>
      <c r="G39" s="48">
        <v>22.553977536958904</v>
      </c>
      <c r="H39" s="69">
        <v>65.736977536958904</v>
      </c>
      <c r="I39" s="48">
        <v>8.2200000000000006</v>
      </c>
      <c r="J39" s="48">
        <v>5.8259999999999996</v>
      </c>
      <c r="K39" s="48">
        <v>10.597</v>
      </c>
      <c r="L39" s="48">
        <v>12.002000000000001</v>
      </c>
      <c r="M39" s="69">
        <v>36.645000000000003</v>
      </c>
      <c r="N39" s="48">
        <v>13.374000000000001</v>
      </c>
      <c r="O39" s="48">
        <v>30.076000000000001</v>
      </c>
      <c r="P39" s="48">
        <v>29.402000000000001</v>
      </c>
      <c r="Q39" s="48">
        <v>38.024999999999991</v>
      </c>
      <c r="R39" s="69">
        <v>110.877</v>
      </c>
      <c r="S39" s="48">
        <v>37.832999999999998</v>
      </c>
      <c r="T39" s="48">
        <v>33.375999999999976</v>
      </c>
      <c r="U39" s="48">
        <v>50.042000000000002</v>
      </c>
      <c r="V39" s="48">
        <v>43.28</v>
      </c>
      <c r="W39" s="69">
        <v>164.53100000000001</v>
      </c>
      <c r="X39" s="48">
        <v>22.145</v>
      </c>
      <c r="Y39" s="48">
        <v>9.490000000000002</v>
      </c>
      <c r="Z39" s="48">
        <v>-0.46100000000000207</v>
      </c>
      <c r="AA39" s="48">
        <v>-28.24</v>
      </c>
      <c r="AB39" s="69">
        <v>2.9340000000000002</v>
      </c>
      <c r="AC39" s="48">
        <v>-13.776</v>
      </c>
      <c r="AD39" s="48">
        <v>-18.541999999999998</v>
      </c>
      <c r="AE39" s="48">
        <v>-22.314</v>
      </c>
      <c r="AF39" s="48">
        <v>-16.571999999999996</v>
      </c>
      <c r="AG39" s="69">
        <v>-71.203999999999994</v>
      </c>
      <c r="AH39" s="48">
        <v>-10.788</v>
      </c>
      <c r="AI39" s="48">
        <v>-169.33599999999998</v>
      </c>
      <c r="AJ39" s="48">
        <v>12.884999999999991</v>
      </c>
      <c r="AK39" s="48">
        <v>2.945999999999998</v>
      </c>
      <c r="AL39" s="69">
        <v>-164.29300000000001</v>
      </c>
      <c r="AM39" s="48">
        <v>8.2899999999999991</v>
      </c>
      <c r="AN39" s="48">
        <v>33.45130799999999</v>
      </c>
      <c r="AO39" s="48">
        <v>27.12169200000001</v>
      </c>
      <c r="AP39" s="48">
        <v>170.911</v>
      </c>
      <c r="AQ39" s="69">
        <v>239.774</v>
      </c>
      <c r="AR39" s="48">
        <v>7.2330000000000041</v>
      </c>
      <c r="AS39" s="48">
        <v>-18.737000000000016</v>
      </c>
      <c r="AT39" s="48">
        <v>-26.143000000000001</v>
      </c>
      <c r="AU39" s="48">
        <v>3.7520000000000024</v>
      </c>
      <c r="AV39" s="69">
        <v>-33.893000000000001</v>
      </c>
      <c r="AW39" s="48">
        <v>5.657</v>
      </c>
      <c r="AX39" s="48">
        <v>38.501999999999995</v>
      </c>
      <c r="AY39" s="48">
        <v>18.817</v>
      </c>
      <c r="AZ39" s="48">
        <v>-7.75</v>
      </c>
      <c r="BA39" s="69">
        <v>55.225999999999999</v>
      </c>
      <c r="BB39" s="48">
        <v>8.1709999999999994</v>
      </c>
      <c r="BC39" s="48">
        <v>-6.3939999999999992</v>
      </c>
      <c r="BD39" s="48">
        <v>-16.64</v>
      </c>
      <c r="BE39" s="48">
        <v>-42.624000000000002</v>
      </c>
      <c r="BF39" s="179">
        <v>-57.488</v>
      </c>
      <c r="BG39" s="48">
        <v>-16.604000000000003</v>
      </c>
      <c r="BH39" s="48">
        <v>2.6289999999999987</v>
      </c>
      <c r="BJ39" s="155"/>
    </row>
    <row r="40" spans="1:62" s="17" customFormat="1" ht="21" customHeight="1" x14ac:dyDescent="0.4">
      <c r="A40" s="17" t="s">
        <v>107</v>
      </c>
      <c r="B40" s="17" t="s">
        <v>108</v>
      </c>
      <c r="D40" s="70">
        <v>-2.1909999999999998</v>
      </c>
      <c r="E40" s="70">
        <v>-4.2919999999999998</v>
      </c>
      <c r="F40" s="70">
        <v>-5.2359999999999998</v>
      </c>
      <c r="G40" s="70">
        <v>-4.6422616875135008</v>
      </c>
      <c r="H40" s="71">
        <v>-16.361261687513501</v>
      </c>
      <c r="I40" s="70">
        <v>-2.2250000000000001</v>
      </c>
      <c r="J40" s="70">
        <v>-1.5182500000000001</v>
      </c>
      <c r="K40" s="70">
        <v>-1.9059999999999999</v>
      </c>
      <c r="L40" s="70">
        <v>-3.0015000000000001</v>
      </c>
      <c r="M40" s="71">
        <v>-8.65</v>
      </c>
      <c r="N40" s="70">
        <v>-3.371</v>
      </c>
      <c r="O40" s="70">
        <v>-5.6050000000000004</v>
      </c>
      <c r="P40" s="70">
        <v>-6.8039999999999985</v>
      </c>
      <c r="Q40" s="70">
        <v>-8.520999999999999</v>
      </c>
      <c r="R40" s="71">
        <v>-24.300999999999998</v>
      </c>
      <c r="S40" s="70">
        <v>-9.6790000000000003</v>
      </c>
      <c r="T40" s="70">
        <v>-6.6160000000000014</v>
      </c>
      <c r="U40" s="70">
        <v>-12.718999999999998</v>
      </c>
      <c r="V40" s="70">
        <v>-9.27</v>
      </c>
      <c r="W40" s="71">
        <v>-38.283999999999999</v>
      </c>
      <c r="X40" s="70">
        <v>-5.6630000000000003</v>
      </c>
      <c r="Y40" s="70">
        <v>-2.1847499999999993</v>
      </c>
      <c r="Z40" s="70">
        <v>0.34224999999999994</v>
      </c>
      <c r="AA40" s="70">
        <v>4.8795000000000002</v>
      </c>
      <c r="AB40" s="71">
        <v>-2.6259999999999999</v>
      </c>
      <c r="AC40" s="70">
        <v>3.4239999999999999</v>
      </c>
      <c r="AD40" s="70">
        <v>4.588000000000001</v>
      </c>
      <c r="AE40" s="70">
        <v>5.468</v>
      </c>
      <c r="AF40" s="70">
        <v>5.4259999999999984</v>
      </c>
      <c r="AG40" s="71">
        <v>18.905999999999999</v>
      </c>
      <c r="AH40" s="70">
        <v>2.48</v>
      </c>
      <c r="AI40" s="70">
        <v>-16.044999999999998</v>
      </c>
      <c r="AJ40" s="70">
        <v>-5.0610000000000017</v>
      </c>
      <c r="AK40" s="70">
        <v>-0.46799999999999997</v>
      </c>
      <c r="AL40" s="71">
        <v>-19.094000000000001</v>
      </c>
      <c r="AM40" s="70">
        <v>7.6999999999999999E-2</v>
      </c>
      <c r="AN40" s="70">
        <v>-1.4328269999999999</v>
      </c>
      <c r="AO40" s="70">
        <v>-3.5291730000000001</v>
      </c>
      <c r="AP40" s="70">
        <v>8.6080000000000005</v>
      </c>
      <c r="AQ40" s="71">
        <v>3.7229999999999999</v>
      </c>
      <c r="AR40" s="70">
        <v>-2.0250000000000004</v>
      </c>
      <c r="AS40" s="70">
        <v>4.9220000000000006</v>
      </c>
      <c r="AT40" s="70">
        <v>4.5229999999999997</v>
      </c>
      <c r="AU40" s="70">
        <v>-0.83800000000000008</v>
      </c>
      <c r="AV40" s="71">
        <v>6.5819999999999999</v>
      </c>
      <c r="AW40" s="70">
        <v>-8.5000000000000006E-2</v>
      </c>
      <c r="AX40" s="70">
        <v>-10.061</v>
      </c>
      <c r="AY40" s="70">
        <v>-3.6890000000000001</v>
      </c>
      <c r="AZ40" s="70">
        <v>2.4410000000000007</v>
      </c>
      <c r="BA40" s="71">
        <v>-11.394</v>
      </c>
      <c r="BB40" s="70">
        <v>-1.976</v>
      </c>
      <c r="BC40" s="70">
        <v>1.6639999999999999</v>
      </c>
      <c r="BD40" s="70">
        <v>3.774</v>
      </c>
      <c r="BE40" s="70">
        <v>12.427</v>
      </c>
      <c r="BF40" s="195">
        <v>15.847</v>
      </c>
      <c r="BG40" s="70">
        <v>4.0359999999999996</v>
      </c>
      <c r="BH40" s="70">
        <v>-0.29899999999999999</v>
      </c>
      <c r="BJ40" s="155"/>
    </row>
    <row r="41" spans="1:62" s="17" customFormat="1" x14ac:dyDescent="0.4">
      <c r="A41" s="47" t="s">
        <v>109</v>
      </c>
      <c r="B41" s="47" t="s">
        <v>110</v>
      </c>
      <c r="C41" s="21"/>
      <c r="D41" s="48">
        <v>6.5640000000000001</v>
      </c>
      <c r="E41" s="48">
        <v>9.64</v>
      </c>
      <c r="F41" s="48">
        <v>15.26</v>
      </c>
      <c r="G41" s="48">
        <v>17.911715849445404</v>
      </c>
      <c r="H41" s="69">
        <v>49.375715849445406</v>
      </c>
      <c r="I41" s="48">
        <v>5.9950000000000001</v>
      </c>
      <c r="J41" s="48">
        <v>4.3070000000000004</v>
      </c>
      <c r="K41" s="48">
        <v>8.6910000000000007</v>
      </c>
      <c r="L41" s="48">
        <v>9</v>
      </c>
      <c r="M41" s="69">
        <v>27.994</v>
      </c>
      <c r="N41" s="48">
        <v>10.003</v>
      </c>
      <c r="O41" s="48">
        <v>24.470999999999997</v>
      </c>
      <c r="P41" s="48">
        <v>22.598000000000006</v>
      </c>
      <c r="Q41" s="48">
        <v>29.503999999999991</v>
      </c>
      <c r="R41" s="69">
        <v>86.575999999999993</v>
      </c>
      <c r="S41" s="48">
        <v>28.154</v>
      </c>
      <c r="T41" s="48">
        <v>26.76</v>
      </c>
      <c r="U41" s="48">
        <v>37.322999999999993</v>
      </c>
      <c r="V41" s="48">
        <v>34.010000000000005</v>
      </c>
      <c r="W41" s="69">
        <v>126.247</v>
      </c>
      <c r="X41" s="48">
        <v>16.481999999999999</v>
      </c>
      <c r="Y41" s="48">
        <v>7.3052500000000009</v>
      </c>
      <c r="Z41" s="48">
        <v>-0.11874999999999858</v>
      </c>
      <c r="AA41" s="48">
        <v>-23.360500000000002</v>
      </c>
      <c r="AB41" s="69">
        <v>0.308</v>
      </c>
      <c r="AC41" s="48">
        <v>-10.352</v>
      </c>
      <c r="AD41" s="48">
        <v>-13.954000000000001</v>
      </c>
      <c r="AE41" s="48">
        <v>-16.846</v>
      </c>
      <c r="AF41" s="48">
        <v>-11.146000000000001</v>
      </c>
      <c r="AG41" s="69">
        <v>-52.298000000000002</v>
      </c>
      <c r="AH41" s="48">
        <v>-8.3079999999999998</v>
      </c>
      <c r="AI41" s="48">
        <v>-185.381</v>
      </c>
      <c r="AJ41" s="48">
        <v>7.8239999999999839</v>
      </c>
      <c r="AK41" s="48">
        <v>2.4780000000000086</v>
      </c>
      <c r="AL41" s="69">
        <v>-183.387</v>
      </c>
      <c r="AM41" s="48">
        <v>8.3670000000000009</v>
      </c>
      <c r="AN41" s="48">
        <v>32.018480999999994</v>
      </c>
      <c r="AO41" s="48">
        <v>23.59251900000001</v>
      </c>
      <c r="AP41" s="48">
        <v>179.51900000000001</v>
      </c>
      <c r="AQ41" s="69">
        <v>243.49700000000001</v>
      </c>
      <c r="AR41" s="48">
        <v>5.2080000000000037</v>
      </c>
      <c r="AS41" s="48">
        <v>-13.815000000000015</v>
      </c>
      <c r="AT41" s="48">
        <v>-21.62</v>
      </c>
      <c r="AU41" s="48">
        <v>2.9140000000000015</v>
      </c>
      <c r="AV41" s="69">
        <v>-27.311</v>
      </c>
      <c r="AW41" s="48">
        <v>5.5720000000000001</v>
      </c>
      <c r="AX41" s="48">
        <v>28.440999999999999</v>
      </c>
      <c r="AY41" s="48">
        <v>15.128</v>
      </c>
      <c r="AZ41" s="48">
        <v>-5.3089999999999975</v>
      </c>
      <c r="BA41" s="69">
        <v>43.832000000000001</v>
      </c>
      <c r="BB41" s="48">
        <v>6.1950000000000003</v>
      </c>
      <c r="BC41" s="48">
        <v>-4.7300000000000004</v>
      </c>
      <c r="BD41" s="48">
        <v>-12.866000000000001</v>
      </c>
      <c r="BE41" s="48">
        <v>-30.197000000000003</v>
      </c>
      <c r="BF41" s="179">
        <v>-41.640999999999998</v>
      </c>
      <c r="BG41" s="48">
        <v>-12.568000000000003</v>
      </c>
      <c r="BH41" s="48">
        <v>2.3299999999999987</v>
      </c>
      <c r="BJ41" s="155"/>
    </row>
    <row r="42" spans="1:62" s="17" customFormat="1" ht="16.5" thickBot="1" x14ac:dyDescent="0.45"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F42" s="33"/>
    </row>
    <row r="43" spans="1:62" ht="16.5" thickBot="1" x14ac:dyDescent="0.45">
      <c r="A43" s="1" t="s">
        <v>111</v>
      </c>
      <c r="B43" s="1" t="s">
        <v>112</v>
      </c>
      <c r="C43" s="2"/>
      <c r="D43" s="3" t="str">
        <f t="shared" ref="D43:AI43" si="16">D1</f>
        <v>1T15</v>
      </c>
      <c r="E43" s="3" t="str">
        <f t="shared" si="16"/>
        <v>2T15</v>
      </c>
      <c r="F43" s="3" t="str">
        <f t="shared" si="16"/>
        <v>3T15</v>
      </c>
      <c r="G43" s="3" t="str">
        <f t="shared" si="16"/>
        <v>4T15</v>
      </c>
      <c r="H43" s="4">
        <f t="shared" si="16"/>
        <v>2015</v>
      </c>
      <c r="I43" s="3" t="str">
        <f t="shared" si="16"/>
        <v>1T16</v>
      </c>
      <c r="J43" s="3" t="str">
        <f t="shared" si="16"/>
        <v>2T16</v>
      </c>
      <c r="K43" s="3" t="str">
        <f t="shared" si="16"/>
        <v>3T16</v>
      </c>
      <c r="L43" s="3" t="str">
        <f t="shared" si="16"/>
        <v>4T16</v>
      </c>
      <c r="M43" s="4">
        <f t="shared" si="16"/>
        <v>2016</v>
      </c>
      <c r="N43" s="3" t="str">
        <f t="shared" si="16"/>
        <v>1T17</v>
      </c>
      <c r="O43" s="3" t="str">
        <f t="shared" si="16"/>
        <v>2T17</v>
      </c>
      <c r="P43" s="3" t="str">
        <f t="shared" si="16"/>
        <v>3T17</v>
      </c>
      <c r="Q43" s="3" t="str">
        <f t="shared" si="16"/>
        <v>4T17</v>
      </c>
      <c r="R43" s="4">
        <f t="shared" si="16"/>
        <v>2017</v>
      </c>
      <c r="S43" s="3" t="str">
        <f t="shared" si="16"/>
        <v>1T18</v>
      </c>
      <c r="T43" s="3" t="str">
        <f t="shared" si="16"/>
        <v>2T18</v>
      </c>
      <c r="U43" s="3" t="str">
        <f t="shared" si="16"/>
        <v>3T18</v>
      </c>
      <c r="V43" s="3" t="str">
        <f t="shared" si="16"/>
        <v>4T18</v>
      </c>
      <c r="W43" s="4">
        <f t="shared" si="16"/>
        <v>2018</v>
      </c>
      <c r="X43" s="3" t="str">
        <f t="shared" si="16"/>
        <v>1T19</v>
      </c>
      <c r="Y43" s="3" t="str">
        <f t="shared" si="16"/>
        <v>2T19</v>
      </c>
      <c r="Z43" s="3" t="str">
        <f t="shared" si="16"/>
        <v>3T19</v>
      </c>
      <c r="AA43" s="3" t="str">
        <f t="shared" si="16"/>
        <v>4T19</v>
      </c>
      <c r="AB43" s="4">
        <f t="shared" si="16"/>
        <v>2019</v>
      </c>
      <c r="AC43" s="3" t="str">
        <f t="shared" si="16"/>
        <v>1T20</v>
      </c>
      <c r="AD43" s="3" t="str">
        <f t="shared" si="16"/>
        <v>2T20</v>
      </c>
      <c r="AE43" s="3" t="str">
        <f t="shared" si="16"/>
        <v>3T20</v>
      </c>
      <c r="AF43" s="3" t="str">
        <f t="shared" si="16"/>
        <v>4T20</v>
      </c>
      <c r="AG43" s="4">
        <f t="shared" si="16"/>
        <v>2020</v>
      </c>
      <c r="AH43" s="3" t="str">
        <f t="shared" si="16"/>
        <v>1T21</v>
      </c>
      <c r="AI43" s="3" t="str">
        <f t="shared" si="16"/>
        <v>2T21</v>
      </c>
      <c r="AJ43" s="3" t="str">
        <f t="shared" ref="AJ43:BB43" si="17">AJ1</f>
        <v>3T21</v>
      </c>
      <c r="AK43" s="3" t="str">
        <f t="shared" si="17"/>
        <v>4T21</v>
      </c>
      <c r="AL43" s="4">
        <f t="shared" si="17"/>
        <v>2021</v>
      </c>
      <c r="AM43" s="3" t="str">
        <f t="shared" si="17"/>
        <v>1T22</v>
      </c>
      <c r="AN43" s="3" t="str">
        <f t="shared" si="17"/>
        <v>2T22</v>
      </c>
      <c r="AO43" s="3" t="str">
        <f t="shared" si="17"/>
        <v>3T22</v>
      </c>
      <c r="AP43" s="3" t="str">
        <f t="shared" si="17"/>
        <v>4T22</v>
      </c>
      <c r="AQ43" s="4">
        <f t="shared" si="17"/>
        <v>2022</v>
      </c>
      <c r="AR43" s="3" t="str">
        <f t="shared" si="17"/>
        <v>1T23</v>
      </c>
      <c r="AS43" s="3" t="str">
        <f t="shared" si="17"/>
        <v>2T23</v>
      </c>
      <c r="AT43" s="3" t="str">
        <f t="shared" si="17"/>
        <v>3T23</v>
      </c>
      <c r="AU43" s="3" t="s">
        <v>37</v>
      </c>
      <c r="AV43" s="4">
        <v>2023</v>
      </c>
      <c r="AW43" s="3" t="str">
        <f t="shared" si="17"/>
        <v>1T24</v>
      </c>
      <c r="AX43" s="3" t="str">
        <f t="shared" si="17"/>
        <v>2T24</v>
      </c>
      <c r="AY43" s="3" t="str">
        <f t="shared" si="17"/>
        <v>3T24</v>
      </c>
      <c r="AZ43" s="3" t="str">
        <f t="shared" si="17"/>
        <v>4T24</v>
      </c>
      <c r="BA43" s="4">
        <f t="shared" si="17"/>
        <v>2024</v>
      </c>
      <c r="BB43" s="3" t="str">
        <f t="shared" si="17"/>
        <v>1T25</v>
      </c>
      <c r="BC43" s="3" t="s">
        <v>383</v>
      </c>
      <c r="BD43" s="3" t="s">
        <v>384</v>
      </c>
      <c r="BE43" s="3" t="s">
        <v>385</v>
      </c>
      <c r="BF43" s="4">
        <v>2025</v>
      </c>
      <c r="BG43" s="3" t="s">
        <v>386</v>
      </c>
      <c r="BH43" s="3" t="s">
        <v>387</v>
      </c>
    </row>
    <row r="44" spans="1:62" s="17" customFormat="1" x14ac:dyDescent="0.4">
      <c r="A44" s="72" t="s">
        <v>87</v>
      </c>
      <c r="B44" s="72" t="s">
        <v>87</v>
      </c>
      <c r="C44" s="21"/>
      <c r="D44" s="55">
        <v>24.675999999999998</v>
      </c>
      <c r="E44" s="55">
        <v>35.061</v>
      </c>
      <c r="F44" s="55">
        <v>38.136000000000003</v>
      </c>
      <c r="G44" s="55">
        <v>60.12</v>
      </c>
      <c r="H44" s="73">
        <v>157.99299999999999</v>
      </c>
      <c r="I44" s="55">
        <v>25.646999999999998</v>
      </c>
      <c r="J44" s="55">
        <v>19.117000000000001</v>
      </c>
      <c r="K44" s="55">
        <v>21.247</v>
      </c>
      <c r="L44" s="55">
        <v>29.405999999999999</v>
      </c>
      <c r="M44" s="73">
        <v>95.417000000000002</v>
      </c>
      <c r="N44" s="55">
        <v>30.097999999999999</v>
      </c>
      <c r="O44" s="55">
        <v>39.146000000000001</v>
      </c>
      <c r="P44" s="55">
        <v>45.42</v>
      </c>
      <c r="Q44" s="55">
        <v>55.928000000000011</v>
      </c>
      <c r="R44" s="73">
        <v>170.59200000000001</v>
      </c>
      <c r="S44" s="55">
        <v>56.058999999999997</v>
      </c>
      <c r="T44" s="55">
        <v>59.030999999999999</v>
      </c>
      <c r="U44" s="55">
        <v>65.965000000000003</v>
      </c>
      <c r="V44" s="55">
        <v>64.534515875208996</v>
      </c>
      <c r="W44" s="73">
        <v>245.589515875209</v>
      </c>
      <c r="X44" s="55">
        <v>38.875999999999998</v>
      </c>
      <c r="Y44" s="55">
        <v>27.761000000000003</v>
      </c>
      <c r="Z44" s="55">
        <v>18.331000000000003</v>
      </c>
      <c r="AA44" s="55">
        <v>-9.8119999999999976</v>
      </c>
      <c r="AB44" s="73">
        <v>75.156000000000006</v>
      </c>
      <c r="AC44" s="55">
        <v>5.4489999999999998</v>
      </c>
      <c r="AD44" s="55">
        <v>3.4239999999999995</v>
      </c>
      <c r="AE44" s="55">
        <v>-1.8229999999999995</v>
      </c>
      <c r="AF44" s="55">
        <v>6.8050000000000006</v>
      </c>
      <c r="AG44" s="166">
        <v>13.855</v>
      </c>
      <c r="AH44" s="55">
        <v>8.2409999999999997</v>
      </c>
      <c r="AI44" s="55">
        <v>32.729999999999997</v>
      </c>
      <c r="AJ44" s="55">
        <v>30.472000000000001</v>
      </c>
      <c r="AK44" s="55">
        <v>17.599000000000004</v>
      </c>
      <c r="AL44" s="73">
        <v>89.042000000000002</v>
      </c>
      <c r="AM44" s="55">
        <v>20.821999999999999</v>
      </c>
      <c r="AN44" s="55">
        <v>48.996307999999999</v>
      </c>
      <c r="AO44" s="55">
        <v>41.375692000000001</v>
      </c>
      <c r="AP44" s="55">
        <v>26.536999999999992</v>
      </c>
      <c r="AQ44" s="73">
        <v>137.73099999999999</v>
      </c>
      <c r="AR44" s="55">
        <v>25.624000000000002</v>
      </c>
      <c r="AS44" s="55">
        <v>8.1809999999999832</v>
      </c>
      <c r="AT44" s="55">
        <v>-6.1329999999999849</v>
      </c>
      <c r="AU44" s="55">
        <v>18.487999999999996</v>
      </c>
      <c r="AV44" s="166">
        <v>46.16</v>
      </c>
      <c r="AW44" s="55">
        <v>28.757000000000001</v>
      </c>
      <c r="AX44" s="55">
        <v>60.912999999999997</v>
      </c>
      <c r="AY44" s="55">
        <v>42.2</v>
      </c>
      <c r="AZ44" s="55">
        <v>6.3400000000000034</v>
      </c>
      <c r="BA44" s="166">
        <v>138.16</v>
      </c>
      <c r="BB44" s="55">
        <v>28.504999999999999</v>
      </c>
      <c r="BC44" s="55">
        <v>20.026</v>
      </c>
      <c r="BD44" s="55">
        <v>4.2689999999999984</v>
      </c>
      <c r="BE44" s="55">
        <v>3.238</v>
      </c>
      <c r="BF44" s="166">
        <v>56.036999999999999</v>
      </c>
      <c r="BG44" s="55">
        <v>-1.4119999999999999</v>
      </c>
      <c r="BH44" s="55">
        <v>22.690999999999999</v>
      </c>
      <c r="BJ44" s="155"/>
    </row>
    <row r="45" spans="1:62" s="17" customFormat="1" x14ac:dyDescent="0.4">
      <c r="A45" s="9" t="s">
        <v>113</v>
      </c>
      <c r="B45" s="5" t="s">
        <v>114</v>
      </c>
      <c r="C45" s="9"/>
      <c r="D45" s="6"/>
      <c r="E45" s="6"/>
      <c r="F45" s="6"/>
      <c r="G45" s="6"/>
      <c r="H45" s="66">
        <v>4.6909999999999945</v>
      </c>
      <c r="I45" s="6">
        <v>2.0740000000000003</v>
      </c>
      <c r="J45" s="6">
        <v>-0.68900000000000117</v>
      </c>
      <c r="K45" s="6">
        <v>1.5599999999999987</v>
      </c>
      <c r="L45" s="6">
        <v>-1.3019999999999994</v>
      </c>
      <c r="M45" s="66">
        <v>1.3749999999999929</v>
      </c>
      <c r="N45" s="6">
        <v>3.081</v>
      </c>
      <c r="O45" s="6">
        <v>-1.361</v>
      </c>
      <c r="P45" s="6">
        <v>3.3840000000000003</v>
      </c>
      <c r="Q45" s="6">
        <v>4.8730000000000002</v>
      </c>
      <c r="R45" s="66">
        <v>9.9770000000000003</v>
      </c>
      <c r="S45" s="6">
        <v>0.81899999999999995</v>
      </c>
      <c r="T45" s="6">
        <v>-1.6919999999999997</v>
      </c>
      <c r="U45" s="6">
        <v>6.4890000000000008</v>
      </c>
      <c r="V45" s="6">
        <v>2.0300000000000002</v>
      </c>
      <c r="W45" s="66">
        <v>7.6460000000000008</v>
      </c>
      <c r="X45" s="6">
        <v>6.4449999999999994</v>
      </c>
      <c r="Y45" s="6">
        <v>-0.85599999999999998</v>
      </c>
      <c r="Z45" s="6">
        <v>3.2629999999999999</v>
      </c>
      <c r="AA45" s="6">
        <v>2.5689999999999991</v>
      </c>
      <c r="AB45" s="66">
        <v>11.420999999999999</v>
      </c>
      <c r="AC45" s="6">
        <v>3.3119999999999994</v>
      </c>
      <c r="AD45" s="6">
        <v>-1.5310000000000001</v>
      </c>
      <c r="AE45" s="6">
        <v>-2.7389999999999999</v>
      </c>
      <c r="AF45" s="6">
        <v>-7.6289999999999996</v>
      </c>
      <c r="AG45" s="66">
        <v>-8.5869999999999997</v>
      </c>
      <c r="AH45" s="6">
        <v>-2.7309999999999999</v>
      </c>
      <c r="AI45" s="6">
        <v>-0.45300000000000029</v>
      </c>
      <c r="AJ45" s="6">
        <v>18.457000000000001</v>
      </c>
      <c r="AK45" s="6">
        <v>13.412000000000001</v>
      </c>
      <c r="AL45" s="66">
        <v>28.685000000000002</v>
      </c>
      <c r="AM45" s="6">
        <v>3.6000000000000497E-2</v>
      </c>
      <c r="AN45" s="6">
        <v>11.971</v>
      </c>
      <c r="AO45" s="6">
        <v>7.8029999999999999</v>
      </c>
      <c r="AP45" s="6">
        <v>2.3530000000000002</v>
      </c>
      <c r="AQ45" s="66">
        <v>22.163</v>
      </c>
      <c r="AR45" s="6">
        <v>4.7640000000000002</v>
      </c>
      <c r="AS45" s="6">
        <v>-1.72</v>
      </c>
      <c r="AT45" s="6">
        <v>2.6549630070800201</v>
      </c>
      <c r="AU45" s="6">
        <v>-5.8019999999999996</v>
      </c>
      <c r="AV45" s="66">
        <v>-0.10299999999999999</v>
      </c>
      <c r="AW45" s="6">
        <v>5.5129999999999999</v>
      </c>
      <c r="AX45" s="6">
        <v>0.30799999999999872</v>
      </c>
      <c r="AY45" s="6">
        <v>-1.8150094598837077</v>
      </c>
      <c r="AZ45" s="6">
        <v>7.2697904598837084</v>
      </c>
      <c r="BA45" s="66">
        <v>11.056431613116274</v>
      </c>
      <c r="BB45" s="6">
        <v>-4.5069999999999997</v>
      </c>
      <c r="BC45" s="6">
        <v>0.48699999999999988</v>
      </c>
      <c r="BD45" s="6">
        <v>-1.8180000000000005</v>
      </c>
      <c r="BE45" s="6">
        <v>10.835000000000001</v>
      </c>
      <c r="BF45" s="160">
        <v>4.9969999999999999</v>
      </c>
      <c r="BG45" s="6">
        <v>-4.351</v>
      </c>
      <c r="BH45" s="6">
        <v>-0.90900000000000003</v>
      </c>
      <c r="BJ45" s="155"/>
    </row>
    <row r="46" spans="1:62" s="17" customFormat="1" x14ac:dyDescent="0.4">
      <c r="A46" s="9" t="s">
        <v>115</v>
      </c>
      <c r="B46" s="9" t="s">
        <v>116</v>
      </c>
      <c r="C46" s="9"/>
      <c r="D46" s="6">
        <v>-19.617999999999999</v>
      </c>
      <c r="E46" s="6">
        <v>14.081</v>
      </c>
      <c r="F46" s="6">
        <v>-27.370999999999999</v>
      </c>
      <c r="G46" s="6">
        <v>3.8879999999999999</v>
      </c>
      <c r="H46" s="66">
        <v>-29.046000000000003</v>
      </c>
      <c r="I46" s="6">
        <v>-11.917</v>
      </c>
      <c r="J46" s="6">
        <v>3.0879999999999996</v>
      </c>
      <c r="K46" s="6">
        <v>-6.7249999999999996</v>
      </c>
      <c r="L46" s="6">
        <v>14.718999999999999</v>
      </c>
      <c r="M46" s="66">
        <v>-0.79600000000000093</v>
      </c>
      <c r="N46" s="6">
        <v>-14.286999999999999</v>
      </c>
      <c r="O46" s="6">
        <v>2.4940000000000002</v>
      </c>
      <c r="P46" s="6">
        <v>-5.4859999999999989</v>
      </c>
      <c r="Q46" s="6">
        <v>17.610999999999997</v>
      </c>
      <c r="R46" s="66">
        <v>0.33199999999999985</v>
      </c>
      <c r="S46" s="6">
        <v>-28.791999999999998</v>
      </c>
      <c r="T46" s="6">
        <v>20.100999999999999</v>
      </c>
      <c r="U46" s="6">
        <v>-5.49</v>
      </c>
      <c r="V46" s="6">
        <v>-0.43100000000000094</v>
      </c>
      <c r="W46" s="66">
        <v>-14.612</v>
      </c>
      <c r="X46" s="6">
        <v>6.3000000000000056E-2</v>
      </c>
      <c r="Y46" s="6">
        <v>-8.411999999999999</v>
      </c>
      <c r="Z46" s="6">
        <v>13.337</v>
      </c>
      <c r="AA46" s="6">
        <v>44.765000000000001</v>
      </c>
      <c r="AB46" s="66">
        <v>49.753</v>
      </c>
      <c r="AC46" s="6">
        <v>6.7950000000000008</v>
      </c>
      <c r="AD46" s="6">
        <v>6.452</v>
      </c>
      <c r="AE46" s="6">
        <v>3.226</v>
      </c>
      <c r="AF46" s="6">
        <v>2.3239999999999972</v>
      </c>
      <c r="AG46" s="66">
        <v>18.792999999999999</v>
      </c>
      <c r="AH46" s="6">
        <v>-17.16</v>
      </c>
      <c r="AI46" s="6">
        <v>-3.3699999999999992</v>
      </c>
      <c r="AJ46" s="6">
        <v>-10.402000000000003</v>
      </c>
      <c r="AK46" s="6">
        <v>7.9510000000000023</v>
      </c>
      <c r="AL46" s="66">
        <v>-22.981000000000002</v>
      </c>
      <c r="AM46" s="6">
        <v>-8.516</v>
      </c>
      <c r="AN46" s="6">
        <v>-22.732308000000003</v>
      </c>
      <c r="AO46" s="6">
        <v>26.503308000000004</v>
      </c>
      <c r="AP46" s="6">
        <v>1.7160000000000004</v>
      </c>
      <c r="AQ46" s="66">
        <v>-3.024</v>
      </c>
      <c r="AR46" s="6">
        <v>-69.788131891374093</v>
      </c>
      <c r="AS46" s="6">
        <v>48.864980632185052</v>
      </c>
      <c r="AT46" s="6">
        <v>-34.16391320260206</v>
      </c>
      <c r="AU46" s="6">
        <v>30.353770216222358</v>
      </c>
      <c r="AV46" s="66">
        <v>-24.736000000000004</v>
      </c>
      <c r="AW46" s="6">
        <v>-41.488</v>
      </c>
      <c r="AX46" s="6">
        <v>-27.04</v>
      </c>
      <c r="AY46" s="6">
        <v>27.567999999999998</v>
      </c>
      <c r="AZ46" s="6">
        <v>4.2240000000000038</v>
      </c>
      <c r="BA46" s="66">
        <v>-36.735999999999997</v>
      </c>
      <c r="BB46" s="6">
        <v>-6.1250000000000009</v>
      </c>
      <c r="BC46" s="6">
        <v>-11.911</v>
      </c>
      <c r="BD46" s="6">
        <v>27.469000000000001</v>
      </c>
      <c r="BE46" s="6">
        <v>1.3469999999999995</v>
      </c>
      <c r="BF46" s="160">
        <v>10.802000000000001</v>
      </c>
      <c r="BG46" s="6">
        <v>-13.33</v>
      </c>
      <c r="BH46" s="6">
        <v>-8.8539999999999992</v>
      </c>
      <c r="BJ46" s="155"/>
    </row>
    <row r="47" spans="1:62" s="17" customFormat="1" x14ac:dyDescent="0.4">
      <c r="A47" s="9" t="s">
        <v>117</v>
      </c>
      <c r="B47" s="9" t="s">
        <v>118</v>
      </c>
      <c r="C47" s="9"/>
      <c r="D47" s="6">
        <v>3.5259999999999998</v>
      </c>
      <c r="E47" s="6">
        <v>-2.3180000000000001</v>
      </c>
      <c r="F47" s="6">
        <v>-1.9350000000000001</v>
      </c>
      <c r="G47" s="6">
        <v>-7.0759999999999996</v>
      </c>
      <c r="H47" s="66">
        <v>-7.8029999999999999</v>
      </c>
      <c r="I47" s="6">
        <v>0.114</v>
      </c>
      <c r="J47" s="6">
        <v>-0.749</v>
      </c>
      <c r="K47" s="6">
        <v>0</v>
      </c>
      <c r="L47" s="6">
        <v>-6.6120000000000001</v>
      </c>
      <c r="M47" s="66">
        <v>-7.2469999999999999</v>
      </c>
      <c r="N47" s="6">
        <v>0</v>
      </c>
      <c r="O47" s="6">
        <v>-2.0310000000000001</v>
      </c>
      <c r="P47" s="6">
        <v>0</v>
      </c>
      <c r="Q47" s="6">
        <v>-12.449</v>
      </c>
      <c r="R47" s="66">
        <v>-14.48</v>
      </c>
      <c r="S47" s="6">
        <v>0</v>
      </c>
      <c r="T47" s="6">
        <v>-6.3959999999999999</v>
      </c>
      <c r="U47" s="6">
        <v>-4.1000000000000369E-2</v>
      </c>
      <c r="V47" s="6">
        <v>-20.236999999999998</v>
      </c>
      <c r="W47" s="66">
        <v>-26.673999999999999</v>
      </c>
      <c r="X47" s="6">
        <v>0</v>
      </c>
      <c r="Y47" s="6">
        <v>-5.1020000000000003</v>
      </c>
      <c r="Z47" s="6">
        <v>-1.5249999999999995</v>
      </c>
      <c r="AA47" s="6">
        <v>-0.87699999999999978</v>
      </c>
      <c r="AB47" s="66">
        <v>-7.5039999999999996</v>
      </c>
      <c r="AC47" s="6">
        <v>-3.0000000000000001E-3</v>
      </c>
      <c r="AD47" s="6">
        <v>6.0000000000000001E-3</v>
      </c>
      <c r="AE47" s="6">
        <v>-2.5999999999999999E-2</v>
      </c>
      <c r="AF47" s="6">
        <v>6.3149999999999995</v>
      </c>
      <c r="AG47" s="66">
        <v>6.2919999999999998</v>
      </c>
      <c r="AH47" s="6">
        <v>0</v>
      </c>
      <c r="AI47" s="6">
        <v>0</v>
      </c>
      <c r="AJ47" s="6">
        <v>0</v>
      </c>
      <c r="AK47" s="6">
        <v>-1.28</v>
      </c>
      <c r="AL47" s="66">
        <v>-1.28</v>
      </c>
      <c r="AM47" s="6">
        <v>1E-3</v>
      </c>
      <c r="AN47" s="6">
        <v>-1.8879999999999999</v>
      </c>
      <c r="AO47" s="6">
        <v>0</v>
      </c>
      <c r="AP47" s="6">
        <v>-12.046999999999999</v>
      </c>
      <c r="AQ47" s="66">
        <v>-13.933999999999999</v>
      </c>
      <c r="AR47" s="6">
        <v>0</v>
      </c>
      <c r="AS47" s="6">
        <v>-3.9318784135016989</v>
      </c>
      <c r="AT47" s="6">
        <v>6.2624792812648877E-4</v>
      </c>
      <c r="AU47" s="6">
        <v>6.4972521655735722</v>
      </c>
      <c r="AV47" s="66">
        <v>2.5659999999999998</v>
      </c>
      <c r="AW47" s="6">
        <v>0</v>
      </c>
      <c r="AX47" s="6">
        <v>-1.6870000000000001</v>
      </c>
      <c r="AY47" s="6">
        <v>0</v>
      </c>
      <c r="AZ47" s="6">
        <v>-4.8</v>
      </c>
      <c r="BA47" s="66">
        <v>-6.4870000000000001</v>
      </c>
      <c r="BB47" s="6">
        <v>0</v>
      </c>
      <c r="BC47" s="6">
        <v>-2.5089999999999999</v>
      </c>
      <c r="BD47" s="6">
        <v>1.9999999999997797E-3</v>
      </c>
      <c r="BE47" s="6">
        <v>5.5330000000000004</v>
      </c>
      <c r="BF47" s="160">
        <v>3.03</v>
      </c>
      <c r="BG47" s="6">
        <v>0.14000000000000001</v>
      </c>
      <c r="BH47" s="6">
        <v>-0.17</v>
      </c>
      <c r="BJ47" s="155"/>
    </row>
    <row r="48" spans="1:62" s="17" customFormat="1" x14ac:dyDescent="0.4">
      <c r="A48" s="9" t="s">
        <v>119</v>
      </c>
      <c r="B48" s="9" t="s">
        <v>120</v>
      </c>
      <c r="C48" s="9"/>
      <c r="D48" s="6">
        <v>-8.774999999999995</v>
      </c>
      <c r="E48" s="6">
        <v>-2.1050000000000004</v>
      </c>
      <c r="F48" s="6">
        <v>-7.8959999999999972</v>
      </c>
      <c r="G48" s="6">
        <v>-20.938885760000005</v>
      </c>
      <c r="H48" s="66">
        <v>-39.714885759999987</v>
      </c>
      <c r="I48" s="6">
        <v>-0.218</v>
      </c>
      <c r="J48" s="6">
        <v>-6.9039999999999999</v>
      </c>
      <c r="K48" s="6">
        <v>0.29400000000000287</v>
      </c>
      <c r="L48" s="6">
        <v>-6.7460000000000004</v>
      </c>
      <c r="M48" s="66">
        <v>-13.305999999999997</v>
      </c>
      <c r="N48" s="6">
        <v>0.47899999999999998</v>
      </c>
      <c r="O48" s="6">
        <v>-6.508</v>
      </c>
      <c r="P48" s="6">
        <v>0.55100000000000016</v>
      </c>
      <c r="Q48" s="6">
        <v>-7.5609999999999999</v>
      </c>
      <c r="R48" s="66">
        <v>-13.039</v>
      </c>
      <c r="S48" s="6">
        <v>0.94799999999999995</v>
      </c>
      <c r="T48" s="6">
        <v>-19.900000000000002</v>
      </c>
      <c r="U48" s="6">
        <v>-0.67299999999999827</v>
      </c>
      <c r="V48" s="6">
        <v>-0.26800000000000068</v>
      </c>
      <c r="W48" s="66">
        <v>-19.893000000000001</v>
      </c>
      <c r="X48" s="6">
        <v>-1.1399999999999999</v>
      </c>
      <c r="Y48" s="6">
        <v>-0.24199999999999999</v>
      </c>
      <c r="Z48" s="6">
        <v>-1.0970000000000002</v>
      </c>
      <c r="AA48" s="6">
        <v>-2.29</v>
      </c>
      <c r="AB48" s="66">
        <v>-4.7690000000000001</v>
      </c>
      <c r="AC48" s="6">
        <v>-1.7649999999999999</v>
      </c>
      <c r="AD48" s="6">
        <v>-0.62799999999999989</v>
      </c>
      <c r="AE48" s="6">
        <v>-2.7949999999999999</v>
      </c>
      <c r="AF48" s="6">
        <v>-1.2650000000000006</v>
      </c>
      <c r="AG48" s="66">
        <v>-6.4530000000000003</v>
      </c>
      <c r="AH48" s="6">
        <v>-2.3530000000000002</v>
      </c>
      <c r="AI48" s="6">
        <v>-1.5329999999999999</v>
      </c>
      <c r="AJ48" s="6">
        <v>-2.1619999999999999</v>
      </c>
      <c r="AK48" s="6">
        <v>-0.87099999999999955</v>
      </c>
      <c r="AL48" s="66">
        <v>-6.9189999999999996</v>
      </c>
      <c r="AM48" s="6">
        <v>-2.258</v>
      </c>
      <c r="AN48" s="6">
        <v>-1.0699999999999998</v>
      </c>
      <c r="AO48" s="6">
        <v>-2.1090000000000004</v>
      </c>
      <c r="AP48" s="6">
        <v>-0.84600000000000009</v>
      </c>
      <c r="AQ48" s="66">
        <v>-6.2830000000000004</v>
      </c>
      <c r="AR48" s="6">
        <v>-2.7810000000000001</v>
      </c>
      <c r="AS48" s="6">
        <v>-1.6712331239553513</v>
      </c>
      <c r="AT48" s="6">
        <v>-4.7260568195935884</v>
      </c>
      <c r="AU48" s="6">
        <v>-3.8537100564510602</v>
      </c>
      <c r="AV48" s="66">
        <v>-13.032</v>
      </c>
      <c r="AW48" s="6">
        <v>-7.4569999999999999</v>
      </c>
      <c r="AX48" s="6">
        <v>-3.1390000000000002</v>
      </c>
      <c r="AY48" s="6">
        <v>-4.7919999999999989</v>
      </c>
      <c r="AZ48" s="6">
        <v>-3.8689999830000019</v>
      </c>
      <c r="BA48" s="66">
        <v>-19.256999983</v>
      </c>
      <c r="BB48" s="6">
        <v>-4.6539999999999999</v>
      </c>
      <c r="BC48" s="6">
        <v>-5.6850000000000005</v>
      </c>
      <c r="BD48" s="6">
        <v>-4.4339999999999993</v>
      </c>
      <c r="BE48" s="6">
        <v>-4.7830000000000004</v>
      </c>
      <c r="BF48" s="160">
        <v>-19.556000000000001</v>
      </c>
      <c r="BG48" s="6">
        <v>-5.8109999999999999</v>
      </c>
      <c r="BH48" s="6">
        <v>-4.1680000000000001</v>
      </c>
      <c r="BJ48" s="155"/>
    </row>
    <row r="49" spans="1:66" s="17" customFormat="1" x14ac:dyDescent="0.4">
      <c r="A49" s="47" t="s">
        <v>121</v>
      </c>
      <c r="B49" s="47" t="s">
        <v>122</v>
      </c>
      <c r="C49" s="21"/>
      <c r="D49" s="48">
        <v>8.377000000000006</v>
      </c>
      <c r="E49" s="48">
        <v>41.506</v>
      </c>
      <c r="F49" s="48">
        <v>3.7690000000000072</v>
      </c>
      <c r="G49" s="48">
        <v>32.494114239999995</v>
      </c>
      <c r="H49" s="69">
        <v>86.120114240000021</v>
      </c>
      <c r="I49" s="48">
        <v>15.700000000000001</v>
      </c>
      <c r="J49" s="48">
        <v>13.863</v>
      </c>
      <c r="K49" s="48">
        <v>16.376000000000005</v>
      </c>
      <c r="L49" s="48">
        <v>29.464999999999996</v>
      </c>
      <c r="M49" s="69">
        <v>75.442999999999998</v>
      </c>
      <c r="N49" s="48">
        <v>19.371000000000002</v>
      </c>
      <c r="O49" s="48">
        <v>31.74</v>
      </c>
      <c r="P49" s="48">
        <v>43.869000000000007</v>
      </c>
      <c r="Q49" s="48">
        <v>58.402000000000008</v>
      </c>
      <c r="R49" s="69">
        <v>153.38200000000003</v>
      </c>
      <c r="S49" s="48">
        <v>29.033999999999995</v>
      </c>
      <c r="T49" s="48">
        <v>51.142999999999986</v>
      </c>
      <c r="U49" s="48">
        <v>66.250000000000014</v>
      </c>
      <c r="V49" s="48">
        <v>45.628515875209004</v>
      </c>
      <c r="W49" s="69">
        <v>192.05651587520902</v>
      </c>
      <c r="X49" s="48">
        <v>44.244</v>
      </c>
      <c r="Y49" s="48">
        <v>13.149000000000004</v>
      </c>
      <c r="Z49" s="48">
        <v>32.308999999999997</v>
      </c>
      <c r="AA49" s="48">
        <v>34.350276000000001</v>
      </c>
      <c r="AB49" s="69">
        <v>124.05699999999999</v>
      </c>
      <c r="AC49" s="48">
        <v>13.788</v>
      </c>
      <c r="AD49" s="48">
        <v>7.722999999999999</v>
      </c>
      <c r="AE49" s="48">
        <v>-4.1569999999999991</v>
      </c>
      <c r="AF49" s="48">
        <v>6.5499999999999963</v>
      </c>
      <c r="AG49" s="69">
        <v>23.900000000000002</v>
      </c>
      <c r="AH49" s="48">
        <v>-14.003</v>
      </c>
      <c r="AI49" s="48">
        <v>27.373999999999995</v>
      </c>
      <c r="AJ49" s="48">
        <v>36.365000000000002</v>
      </c>
      <c r="AK49" s="48">
        <v>36.811</v>
      </c>
      <c r="AL49" s="69">
        <v>86.547000000000011</v>
      </c>
      <c r="AM49" s="48">
        <v>10.085000000000001</v>
      </c>
      <c r="AN49" s="48">
        <v>35.276999999999994</v>
      </c>
      <c r="AO49" s="48">
        <v>73.572999999999993</v>
      </c>
      <c r="AP49" s="48">
        <v>17.712999999999997</v>
      </c>
      <c r="AQ49" s="69">
        <v>136.65299999999999</v>
      </c>
      <c r="AR49" s="48">
        <v>-42.181131891374093</v>
      </c>
      <c r="AS49" s="48">
        <v>49.7232208433389</v>
      </c>
      <c r="AT49" s="48">
        <v>-42.367380767187491</v>
      </c>
      <c r="AU49" s="48">
        <v>45.68344897274963</v>
      </c>
      <c r="AV49" s="69">
        <v>10.858000000000011</v>
      </c>
      <c r="AW49" s="48">
        <v>-14.675999999999998</v>
      </c>
      <c r="AX49" s="48">
        <v>29.355</v>
      </c>
      <c r="AY49" s="48">
        <v>63.110990540116291</v>
      </c>
      <c r="AZ49" s="48">
        <v>9.164790476883713</v>
      </c>
      <c r="BA49" s="69">
        <v>86.736431630116286</v>
      </c>
      <c r="BB49" s="48">
        <v>13.218999999999998</v>
      </c>
      <c r="BC49" s="48">
        <v>0.4079999999999977</v>
      </c>
      <c r="BD49" s="48">
        <v>25.488</v>
      </c>
      <c r="BE49" s="48">
        <v>16.169999999999998</v>
      </c>
      <c r="BF49" s="179">
        <v>55.31</v>
      </c>
      <c r="BG49" s="48">
        <v>-24.763999999999999</v>
      </c>
      <c r="BH49" s="48">
        <v>8.59</v>
      </c>
      <c r="BJ49" s="155"/>
    </row>
    <row r="50" spans="1:66" s="17" customFormat="1" ht="16.5" thickBot="1" x14ac:dyDescent="0.45">
      <c r="A50" s="21"/>
      <c r="B50" s="21"/>
      <c r="C50" s="2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74"/>
      <c r="AV50" s="51"/>
      <c r="AW50" s="51"/>
      <c r="AX50" s="51"/>
      <c r="AY50" s="51"/>
      <c r="AZ50" s="51"/>
      <c r="BA50" s="51"/>
      <c r="BB50" s="51"/>
      <c r="BC50" s="51"/>
      <c r="BD50" s="51"/>
      <c r="BF50" s="51"/>
      <c r="BJ50" s="155"/>
    </row>
    <row r="51" spans="1:66" ht="16.5" thickBot="1" x14ac:dyDescent="0.45">
      <c r="A51" s="1" t="s">
        <v>123</v>
      </c>
      <c r="B51" s="1" t="s">
        <v>124</v>
      </c>
      <c r="C51" s="2"/>
      <c r="D51" s="3" t="str">
        <f t="shared" ref="D51:AI51" si="18">D1</f>
        <v>1T15</v>
      </c>
      <c r="E51" s="3" t="str">
        <f t="shared" si="18"/>
        <v>2T15</v>
      </c>
      <c r="F51" s="3" t="str">
        <f t="shared" si="18"/>
        <v>3T15</v>
      </c>
      <c r="G51" s="3" t="str">
        <f t="shared" si="18"/>
        <v>4T15</v>
      </c>
      <c r="H51" s="4">
        <f t="shared" si="18"/>
        <v>2015</v>
      </c>
      <c r="I51" s="3" t="str">
        <f t="shared" si="18"/>
        <v>1T16</v>
      </c>
      <c r="J51" s="3" t="str">
        <f t="shared" si="18"/>
        <v>2T16</v>
      </c>
      <c r="K51" s="3" t="str">
        <f t="shared" si="18"/>
        <v>3T16</v>
      </c>
      <c r="L51" s="3" t="str">
        <f t="shared" si="18"/>
        <v>4T16</v>
      </c>
      <c r="M51" s="4">
        <f t="shared" si="18"/>
        <v>2016</v>
      </c>
      <c r="N51" s="3" t="str">
        <f t="shared" si="18"/>
        <v>1T17</v>
      </c>
      <c r="O51" s="3" t="str">
        <f t="shared" si="18"/>
        <v>2T17</v>
      </c>
      <c r="P51" s="3" t="str">
        <f t="shared" si="18"/>
        <v>3T17</v>
      </c>
      <c r="Q51" s="3" t="str">
        <f t="shared" si="18"/>
        <v>4T17</v>
      </c>
      <c r="R51" s="4">
        <f t="shared" si="18"/>
        <v>2017</v>
      </c>
      <c r="S51" s="3" t="str">
        <f t="shared" si="18"/>
        <v>1T18</v>
      </c>
      <c r="T51" s="3" t="str">
        <f t="shared" si="18"/>
        <v>2T18</v>
      </c>
      <c r="U51" s="3" t="str">
        <f t="shared" si="18"/>
        <v>3T18</v>
      </c>
      <c r="V51" s="3" t="str">
        <f t="shared" si="18"/>
        <v>4T18</v>
      </c>
      <c r="W51" s="4">
        <f t="shared" si="18"/>
        <v>2018</v>
      </c>
      <c r="X51" s="3" t="str">
        <f t="shared" si="18"/>
        <v>1T19</v>
      </c>
      <c r="Y51" s="3" t="str">
        <f t="shared" si="18"/>
        <v>2T19</v>
      </c>
      <c r="Z51" s="3" t="str">
        <f t="shared" si="18"/>
        <v>3T19</v>
      </c>
      <c r="AA51" s="3" t="str">
        <f t="shared" si="18"/>
        <v>4T19</v>
      </c>
      <c r="AB51" s="4">
        <f t="shared" si="18"/>
        <v>2019</v>
      </c>
      <c r="AC51" s="3" t="str">
        <f t="shared" si="18"/>
        <v>1T20</v>
      </c>
      <c r="AD51" s="3" t="str">
        <f t="shared" si="18"/>
        <v>2T20</v>
      </c>
      <c r="AE51" s="3" t="str">
        <f t="shared" si="18"/>
        <v>3T20</v>
      </c>
      <c r="AF51" s="3" t="str">
        <f t="shared" si="18"/>
        <v>4T20</v>
      </c>
      <c r="AG51" s="4">
        <f t="shared" si="18"/>
        <v>2020</v>
      </c>
      <c r="AH51" s="3" t="str">
        <f t="shared" si="18"/>
        <v>1T21</v>
      </c>
      <c r="AI51" s="3" t="str">
        <f t="shared" si="18"/>
        <v>2T21</v>
      </c>
      <c r="AJ51" s="3" t="str">
        <f t="shared" ref="AJ51:BB51" si="19">AJ1</f>
        <v>3T21</v>
      </c>
      <c r="AK51" s="3" t="str">
        <f t="shared" si="19"/>
        <v>4T21</v>
      </c>
      <c r="AL51" s="4">
        <f t="shared" si="19"/>
        <v>2021</v>
      </c>
      <c r="AM51" s="3" t="str">
        <f t="shared" si="19"/>
        <v>1T22</v>
      </c>
      <c r="AN51" s="3" t="str">
        <f t="shared" si="19"/>
        <v>2T22</v>
      </c>
      <c r="AO51" s="3" t="str">
        <f t="shared" si="19"/>
        <v>3T22</v>
      </c>
      <c r="AP51" s="3" t="str">
        <f t="shared" si="19"/>
        <v>4T22</v>
      </c>
      <c r="AQ51" s="4">
        <f t="shared" si="19"/>
        <v>2022</v>
      </c>
      <c r="AR51" s="3" t="str">
        <f t="shared" si="19"/>
        <v>1T23</v>
      </c>
      <c r="AS51" s="3" t="str">
        <f t="shared" si="19"/>
        <v>2T23</v>
      </c>
      <c r="AT51" s="3" t="str">
        <f t="shared" si="19"/>
        <v>3T23</v>
      </c>
      <c r="AU51" s="3" t="s">
        <v>37</v>
      </c>
      <c r="AV51" s="4">
        <v>2023</v>
      </c>
      <c r="AW51" s="3" t="str">
        <f t="shared" si="19"/>
        <v>1T24</v>
      </c>
      <c r="AX51" s="3" t="str">
        <f t="shared" si="19"/>
        <v>2T24</v>
      </c>
      <c r="AY51" s="3" t="str">
        <f t="shared" si="19"/>
        <v>3T24</v>
      </c>
      <c r="AZ51" s="3" t="str">
        <f t="shared" si="19"/>
        <v>4T24</v>
      </c>
      <c r="BA51" s="4">
        <f t="shared" si="19"/>
        <v>2024</v>
      </c>
      <c r="BB51" s="3" t="str">
        <f t="shared" si="19"/>
        <v>1T25</v>
      </c>
      <c r="BC51" s="3" t="s">
        <v>383</v>
      </c>
      <c r="BD51" s="3" t="s">
        <v>384</v>
      </c>
      <c r="BE51" s="3" t="s">
        <v>385</v>
      </c>
      <c r="BF51" s="4">
        <v>2025</v>
      </c>
      <c r="BG51" s="3" t="s">
        <v>386</v>
      </c>
      <c r="BH51" s="3" t="s">
        <v>387</v>
      </c>
      <c r="BJ51" s="155"/>
    </row>
    <row r="52" spans="1:66" s="17" customFormat="1" x14ac:dyDescent="0.4">
      <c r="A52" s="9" t="s">
        <v>125</v>
      </c>
      <c r="B52" s="9" t="s">
        <v>126</v>
      </c>
      <c r="C52" s="9"/>
      <c r="D52" s="6">
        <v>5.2480000000000002</v>
      </c>
      <c r="E52" s="6">
        <v>-3.085</v>
      </c>
      <c r="F52" s="6">
        <v>-2.198</v>
      </c>
      <c r="G52" s="6">
        <v>-2.8479999999999999</v>
      </c>
      <c r="H52" s="66">
        <v>-2.883</v>
      </c>
      <c r="I52" s="6">
        <v>-1.5</v>
      </c>
      <c r="J52" s="6">
        <v>-0.436</v>
      </c>
      <c r="K52" s="6">
        <v>-5.7990000000000004</v>
      </c>
      <c r="L52" s="6">
        <v>6.3419999999999996</v>
      </c>
      <c r="M52" s="66">
        <v>-1.385</v>
      </c>
      <c r="N52" s="6">
        <v>4.6310000000000002</v>
      </c>
      <c r="O52" s="6">
        <v>0.97199999999999953</v>
      </c>
      <c r="P52" s="6">
        <v>-0.9449999999999994</v>
      </c>
      <c r="Q52" s="6">
        <v>0.95199999999999996</v>
      </c>
      <c r="R52" s="66">
        <v>5.61</v>
      </c>
      <c r="S52" s="6">
        <v>2.282</v>
      </c>
      <c r="T52" s="6">
        <v>-5.2620000000000005</v>
      </c>
      <c r="U52" s="6">
        <v>-0.75800000000000001</v>
      </c>
      <c r="V52" s="6">
        <v>-5.4390000000000001</v>
      </c>
      <c r="W52" s="66">
        <v>-9.1769999999999996</v>
      </c>
      <c r="X52" s="6">
        <v>-8.7119999999999997</v>
      </c>
      <c r="Y52" s="6">
        <v>-8.3810000000000002</v>
      </c>
      <c r="Z52" s="6">
        <v>5.5890000000000004</v>
      </c>
      <c r="AA52" s="6">
        <v>-0.7629999999999999</v>
      </c>
      <c r="AB52" s="66">
        <v>-12.266999999999999</v>
      </c>
      <c r="AC52" s="6">
        <v>7.1890000000000001</v>
      </c>
      <c r="AD52" s="6">
        <v>-12.026</v>
      </c>
      <c r="AE52" s="6">
        <v>3.548</v>
      </c>
      <c r="AF52" s="6">
        <v>3.7270000000000003</v>
      </c>
      <c r="AG52" s="66">
        <v>2.4380000000000002</v>
      </c>
      <c r="AH52" s="6">
        <v>6.38</v>
      </c>
      <c r="AI52" s="6">
        <v>-3.3999999999999808E-2</v>
      </c>
      <c r="AJ52" s="6">
        <v>-4.1210000000000004</v>
      </c>
      <c r="AK52" s="6">
        <v>-13.719999999999999</v>
      </c>
      <c r="AL52" s="66">
        <v>-11.494999999999999</v>
      </c>
      <c r="AM52" s="6">
        <v>0.22500000000000001</v>
      </c>
      <c r="AN52" s="6">
        <v>8.3410000000000011</v>
      </c>
      <c r="AO52" s="6">
        <v>-16.364000000000001</v>
      </c>
      <c r="AP52" s="6">
        <v>-16.484000000000002</v>
      </c>
      <c r="AQ52" s="66">
        <v>-24.282</v>
      </c>
      <c r="AR52" s="6">
        <v>-7.7080000000000002</v>
      </c>
      <c r="AS52" s="6">
        <v>-1.9281639009078155</v>
      </c>
      <c r="AT52" s="6">
        <v>9.3443755878488783</v>
      </c>
      <c r="AU52" s="6">
        <v>25.999788313058936</v>
      </c>
      <c r="AV52" s="66">
        <v>25.707999999999998</v>
      </c>
      <c r="AW52" s="6">
        <v>-7.4630000000000001</v>
      </c>
      <c r="AX52" s="6">
        <v>5.7960000000000003</v>
      </c>
      <c r="AY52" s="6">
        <v>-11.779</v>
      </c>
      <c r="AZ52" s="6">
        <v>-16.064999999999998</v>
      </c>
      <c r="BA52" s="66">
        <v>-29.510999999999999</v>
      </c>
      <c r="BB52" s="6">
        <v>-7.5250000000000004</v>
      </c>
      <c r="BC52" s="6">
        <v>-6.1509999999999998</v>
      </c>
      <c r="BD52" s="6">
        <v>13.475</v>
      </c>
      <c r="BE52" s="6">
        <v>0.85899999999999999</v>
      </c>
      <c r="BF52" s="160">
        <v>0.65800000000000003</v>
      </c>
      <c r="BG52" s="6">
        <v>-1.468</v>
      </c>
      <c r="BH52" s="6">
        <v>-4.8739999999999997</v>
      </c>
      <c r="BJ52" s="155"/>
    </row>
    <row r="53" spans="1:66" s="17" customFormat="1" x14ac:dyDescent="0.4">
      <c r="A53" s="9" t="s">
        <v>127</v>
      </c>
      <c r="B53" s="9" t="s">
        <v>128</v>
      </c>
      <c r="C53" s="9"/>
      <c r="D53" s="6">
        <v>-7.8019999999999996</v>
      </c>
      <c r="E53" s="6">
        <v>1.835</v>
      </c>
      <c r="F53" s="6">
        <v>-10.124000000000001</v>
      </c>
      <c r="G53" s="6">
        <v>0.88</v>
      </c>
      <c r="H53" s="66">
        <v>-15.211</v>
      </c>
      <c r="I53" s="6">
        <v>-4.2</v>
      </c>
      <c r="J53" s="6">
        <v>4.0039999999999996</v>
      </c>
      <c r="K53" s="6">
        <v>8.7720000000000002</v>
      </c>
      <c r="L53" s="6">
        <v>7.915</v>
      </c>
      <c r="M53" s="66">
        <v>16.472999999999999</v>
      </c>
      <c r="N53" s="6">
        <v>-12.882</v>
      </c>
      <c r="O53" s="6">
        <v>-5.5490000000000013</v>
      </c>
      <c r="P53" s="6">
        <v>-2.4229999999999983</v>
      </c>
      <c r="Q53" s="6">
        <v>2.9139999999999979</v>
      </c>
      <c r="R53" s="66">
        <v>-17.940000000000001</v>
      </c>
      <c r="S53" s="6">
        <v>-27.120999999999999</v>
      </c>
      <c r="T53" s="6">
        <v>11.788999999999998</v>
      </c>
      <c r="U53" s="6">
        <v>2.7620000000000005</v>
      </c>
      <c r="V53" s="6">
        <v>5.09</v>
      </c>
      <c r="W53" s="66">
        <v>-7.48</v>
      </c>
      <c r="X53" s="6">
        <v>11.483000000000001</v>
      </c>
      <c r="Y53" s="6">
        <v>-6.6460000000000008</v>
      </c>
      <c r="Z53" s="6">
        <v>2.8850000000000007</v>
      </c>
      <c r="AA53" s="6">
        <v>60.73</v>
      </c>
      <c r="AB53" s="66">
        <v>68.451999999999998</v>
      </c>
      <c r="AC53" s="6">
        <v>-2.1760000000000002</v>
      </c>
      <c r="AD53" s="6">
        <v>-6.6129999999999995</v>
      </c>
      <c r="AE53" s="6">
        <v>2.3540000000000001</v>
      </c>
      <c r="AF53" s="6">
        <v>-1.6139999999999999</v>
      </c>
      <c r="AG53" s="66">
        <v>-8.0489999999999995</v>
      </c>
      <c r="AH53" s="6">
        <v>-20.664999999999999</v>
      </c>
      <c r="AI53" s="6">
        <v>-10.282</v>
      </c>
      <c r="AJ53" s="6">
        <v>-9.7600000000000016</v>
      </c>
      <c r="AK53" s="6">
        <v>-2.4140000000000015</v>
      </c>
      <c r="AL53" s="66">
        <v>-43.121000000000002</v>
      </c>
      <c r="AM53" s="6">
        <v>19.303999999999998</v>
      </c>
      <c r="AN53" s="6">
        <v>-48.127000000000002</v>
      </c>
      <c r="AO53" s="6">
        <v>22.496941999044122</v>
      </c>
      <c r="AP53" s="6">
        <v>14.512058000955879</v>
      </c>
      <c r="AQ53" s="66">
        <v>8.1859999999999999</v>
      </c>
      <c r="AR53" s="6">
        <v>-44.721709222584856</v>
      </c>
      <c r="AS53" s="6">
        <v>43.481346166538827</v>
      </c>
      <c r="AT53" s="6">
        <v>-8.874931189522707</v>
      </c>
      <c r="AU53" s="6">
        <v>23.972999999999999</v>
      </c>
      <c r="AV53" s="66">
        <v>13.855</v>
      </c>
      <c r="AW53" s="6">
        <v>-25.015000000000001</v>
      </c>
      <c r="AX53" s="6">
        <v>-35.552</v>
      </c>
      <c r="AY53" s="6">
        <v>33.356999999999999</v>
      </c>
      <c r="AZ53" s="6">
        <v>18.882000000000001</v>
      </c>
      <c r="BA53" s="66">
        <v>-8.3279999999999994</v>
      </c>
      <c r="BB53" s="6">
        <v>1.59</v>
      </c>
      <c r="BC53" s="6">
        <v>-11.065</v>
      </c>
      <c r="BD53" s="6">
        <v>16.015999999999998</v>
      </c>
      <c r="BE53" s="6">
        <v>9.1449999999999996</v>
      </c>
      <c r="BF53" s="160">
        <v>15.686</v>
      </c>
      <c r="BG53" s="6">
        <v>-15.029</v>
      </c>
      <c r="BH53" s="6">
        <v>1.8779999999999999</v>
      </c>
      <c r="BJ53" s="155"/>
    </row>
    <row r="54" spans="1:66" s="17" customFormat="1" x14ac:dyDescent="0.4">
      <c r="A54" s="9" t="s">
        <v>129</v>
      </c>
      <c r="B54" s="9" t="s">
        <v>130</v>
      </c>
      <c r="C54" s="9"/>
      <c r="D54" s="6">
        <v>-0.17599999999999999</v>
      </c>
      <c r="E54" s="6">
        <v>0.14699999999999999</v>
      </c>
      <c r="F54" s="6">
        <v>0.75099999999999989</v>
      </c>
      <c r="G54" s="6">
        <v>-0.8859999999999999</v>
      </c>
      <c r="H54" s="66">
        <v>-0.16400000000000001</v>
      </c>
      <c r="I54" s="6">
        <v>-0.57399999999999995</v>
      </c>
      <c r="J54" s="6">
        <v>-2.0260000000000002</v>
      </c>
      <c r="K54" s="6">
        <v>0.60000000000000009</v>
      </c>
      <c r="L54" s="6">
        <v>1.08</v>
      </c>
      <c r="M54" s="66">
        <v>-0.88100000000000001</v>
      </c>
      <c r="N54" s="6">
        <v>-0.60099999999999998</v>
      </c>
      <c r="O54" s="6">
        <v>0.47199999999999998</v>
      </c>
      <c r="P54" s="6">
        <v>0.94799999999999995</v>
      </c>
      <c r="Q54" s="6">
        <v>2.4470000000000001</v>
      </c>
      <c r="R54" s="66">
        <v>3.266</v>
      </c>
      <c r="S54" s="6">
        <v>0.82899999999999996</v>
      </c>
      <c r="T54" s="6">
        <v>1.6740000000000002</v>
      </c>
      <c r="U54" s="6">
        <v>2.3780000000000001</v>
      </c>
      <c r="V54" s="6">
        <v>-0.73000000000000043</v>
      </c>
      <c r="W54" s="66">
        <v>4.1509999999999998</v>
      </c>
      <c r="X54" s="6">
        <v>-0.6</v>
      </c>
      <c r="Y54" s="6">
        <v>-4.093</v>
      </c>
      <c r="Z54" s="6">
        <v>3.2609999999999997</v>
      </c>
      <c r="AA54" s="6">
        <v>-0.79400000000000004</v>
      </c>
      <c r="AB54" s="66">
        <v>-2.226</v>
      </c>
      <c r="AC54" s="6">
        <v>-1.7070000000000001</v>
      </c>
      <c r="AD54" s="6">
        <v>1.2000000000000011E-2</v>
      </c>
      <c r="AE54" s="6">
        <v>2.867</v>
      </c>
      <c r="AF54" s="6">
        <v>-5.6990000000000007</v>
      </c>
      <c r="AG54" s="66">
        <v>-4.5309999999999997</v>
      </c>
      <c r="AH54" s="6">
        <v>-1.665</v>
      </c>
      <c r="AI54" s="6">
        <v>1.8140000000000001</v>
      </c>
      <c r="AJ54" s="6">
        <v>1.2929999999999999</v>
      </c>
      <c r="AK54" s="6">
        <v>0.93399999999999994</v>
      </c>
      <c r="AL54" s="66">
        <v>2.3759999999999999</v>
      </c>
      <c r="AM54" s="6">
        <v>0</v>
      </c>
      <c r="AN54" s="6">
        <v>0.63700000000000001</v>
      </c>
      <c r="AO54" s="6">
        <v>0.53799999999999992</v>
      </c>
      <c r="AP54" s="6">
        <v>1.18</v>
      </c>
      <c r="AQ54" s="66">
        <v>2.3559999999999999</v>
      </c>
      <c r="AR54" s="6">
        <v>-0.25900000000000001</v>
      </c>
      <c r="AS54" s="6">
        <v>1.08</v>
      </c>
      <c r="AT54" s="6">
        <v>-1.1100000000000001</v>
      </c>
      <c r="AU54" s="6">
        <v>2.048</v>
      </c>
      <c r="AV54" s="66">
        <v>1.7589999999999999</v>
      </c>
      <c r="AW54" s="6">
        <v>-1.0820000000000001</v>
      </c>
      <c r="AX54" s="6">
        <v>-0.45599999999999996</v>
      </c>
      <c r="AY54" s="6">
        <v>0.84900000000000009</v>
      </c>
      <c r="AZ54" s="6">
        <v>0.68899999999999995</v>
      </c>
      <c r="BA54" s="66">
        <v>0</v>
      </c>
      <c r="BB54" s="6">
        <v>0</v>
      </c>
      <c r="BC54" s="6">
        <v>0</v>
      </c>
      <c r="BD54" s="6">
        <v>0</v>
      </c>
      <c r="BE54" s="6">
        <v>0</v>
      </c>
      <c r="BF54" s="160">
        <v>0</v>
      </c>
      <c r="BG54" s="6">
        <v>0</v>
      </c>
      <c r="BH54" s="6">
        <v>0</v>
      </c>
      <c r="BJ54" s="155"/>
    </row>
    <row r="55" spans="1:66" s="17" customFormat="1" x14ac:dyDescent="0.4">
      <c r="A55" s="9" t="s">
        <v>131</v>
      </c>
      <c r="B55" s="9" t="s">
        <v>132</v>
      </c>
      <c r="C55" s="9"/>
      <c r="D55" s="6">
        <v>-16.888000000000002</v>
      </c>
      <c r="E55" s="6">
        <v>15.183999999999999</v>
      </c>
      <c r="F55" s="6">
        <v>-15.8</v>
      </c>
      <c r="G55" s="6">
        <v>6.742</v>
      </c>
      <c r="H55" s="66">
        <v>-10.788</v>
      </c>
      <c r="I55" s="6">
        <v>-5.6</v>
      </c>
      <c r="J55" s="6">
        <v>1.546</v>
      </c>
      <c r="K55" s="6">
        <v>-10.298</v>
      </c>
      <c r="L55" s="6">
        <v>-0.61799999999999999</v>
      </c>
      <c r="M55" s="66">
        <v>-15.003</v>
      </c>
      <c r="N55" s="6">
        <v>-5.4349999999999996</v>
      </c>
      <c r="O55" s="6">
        <v>6.5989999999999993</v>
      </c>
      <c r="P55" s="6">
        <v>-3.0659999999999998</v>
      </c>
      <c r="Q55" s="6">
        <v>11.298</v>
      </c>
      <c r="R55" s="66">
        <v>9.3960000000000008</v>
      </c>
      <c r="S55" s="6">
        <v>-4.782</v>
      </c>
      <c r="T55" s="6">
        <v>11.9</v>
      </c>
      <c r="U55" s="6">
        <v>-9.8719999999999999</v>
      </c>
      <c r="V55" s="6">
        <v>0.64800000000000013</v>
      </c>
      <c r="W55" s="66">
        <v>-2.1059999999999999</v>
      </c>
      <c r="X55" s="6">
        <v>-2.1080000000000001</v>
      </c>
      <c r="Y55" s="6">
        <v>10.708</v>
      </c>
      <c r="Z55" s="6">
        <v>1.6020000000000003</v>
      </c>
      <c r="AA55" s="6">
        <v>-14.408000000000001</v>
      </c>
      <c r="AB55" s="66">
        <v>-4.2060000000000004</v>
      </c>
      <c r="AC55" s="6">
        <v>3.4889999999999999</v>
      </c>
      <c r="AD55" s="6">
        <v>25.079000000000001</v>
      </c>
      <c r="AE55" s="6">
        <v>-5.5430000000000028</v>
      </c>
      <c r="AF55" s="6">
        <v>5.91</v>
      </c>
      <c r="AG55" s="66">
        <v>28.934999999999999</v>
      </c>
      <c r="AH55" s="6">
        <v>-1.21</v>
      </c>
      <c r="AI55" s="6">
        <v>5.1319999999999997</v>
      </c>
      <c r="AJ55" s="6">
        <v>2.1859999999999999</v>
      </c>
      <c r="AK55" s="6">
        <v>23.151000000000003</v>
      </c>
      <c r="AL55" s="66">
        <v>29.259</v>
      </c>
      <c r="AM55" s="6">
        <v>-28.04</v>
      </c>
      <c r="AN55" s="6">
        <v>16.417000000000002</v>
      </c>
      <c r="AO55" s="6">
        <v>19.829999999999998</v>
      </c>
      <c r="AP55" s="6">
        <v>2.5089999999999986</v>
      </c>
      <c r="AQ55" s="66">
        <v>10.715999999999999</v>
      </c>
      <c r="AR55" s="6">
        <v>-17.099422668789245</v>
      </c>
      <c r="AS55" s="6">
        <v>6.2317983665540453</v>
      </c>
      <c r="AT55" s="6">
        <v>-33.523357600928229</v>
      </c>
      <c r="AU55" s="6">
        <v>-21.667018096836578</v>
      </c>
      <c r="AV55" s="66">
        <v>-66.058000000000007</v>
      </c>
      <c r="AW55" s="6">
        <v>-7.9279999999999999</v>
      </c>
      <c r="AX55" s="6">
        <v>3.1719999999999997</v>
      </c>
      <c r="AY55" s="6">
        <v>5.141</v>
      </c>
      <c r="AZ55" s="6">
        <v>0.71799999999999997</v>
      </c>
      <c r="BA55" s="66">
        <v>1.103</v>
      </c>
      <c r="BB55" s="6">
        <v>-0.19</v>
      </c>
      <c r="BC55" s="6">
        <v>5.327</v>
      </c>
      <c r="BD55" s="6">
        <v>-2.0219999999999994</v>
      </c>
      <c r="BE55" s="6">
        <v>-8.657</v>
      </c>
      <c r="BF55" s="160">
        <v>-5.5419999999999998</v>
      </c>
      <c r="BG55" s="6">
        <v>3.1669999999999998</v>
      </c>
      <c r="BH55" s="6">
        <v>-5.8579999999999997</v>
      </c>
      <c r="BJ55" s="155"/>
    </row>
    <row r="56" spans="1:66" s="17" customFormat="1" x14ac:dyDescent="0.4">
      <c r="A56" s="47" t="s">
        <v>115</v>
      </c>
      <c r="B56" s="47" t="s">
        <v>116</v>
      </c>
      <c r="C56" s="21"/>
      <c r="D56" s="48">
        <v>-19.618000000000002</v>
      </c>
      <c r="E56" s="48">
        <v>14.081</v>
      </c>
      <c r="F56" s="48">
        <v>-27.371000000000002</v>
      </c>
      <c r="G56" s="48">
        <v>3.8879999999999999</v>
      </c>
      <c r="H56" s="69">
        <v>-29.046000000000003</v>
      </c>
      <c r="I56" s="48">
        <v>-11.873999999999999</v>
      </c>
      <c r="J56" s="48">
        <v>3.0879999999999992</v>
      </c>
      <c r="K56" s="48">
        <v>-6.7249999999999996</v>
      </c>
      <c r="L56" s="48">
        <v>14.718999999999999</v>
      </c>
      <c r="M56" s="69">
        <v>-0.79600000000000093</v>
      </c>
      <c r="N56" s="48">
        <v>-14.286999999999999</v>
      </c>
      <c r="O56" s="48">
        <v>2.4939999999999971</v>
      </c>
      <c r="P56" s="48">
        <v>-5.4859999999999971</v>
      </c>
      <c r="Q56" s="48">
        <v>17.610999999999997</v>
      </c>
      <c r="R56" s="69">
        <v>0.33199999999999896</v>
      </c>
      <c r="S56" s="48">
        <v>-28.791999999999998</v>
      </c>
      <c r="T56" s="48">
        <v>20.100999999999999</v>
      </c>
      <c r="U56" s="48">
        <v>-5.4899999999999993</v>
      </c>
      <c r="V56" s="48">
        <v>-0.43100000000000049</v>
      </c>
      <c r="W56" s="69">
        <v>-14.612</v>
      </c>
      <c r="X56" s="48">
        <v>6.3000000000000611E-2</v>
      </c>
      <c r="Y56" s="48">
        <v>-8.4120000000000008</v>
      </c>
      <c r="Z56" s="48">
        <v>13.337</v>
      </c>
      <c r="AA56" s="48">
        <v>44.765000000000001</v>
      </c>
      <c r="AB56" s="69">
        <v>49.753</v>
      </c>
      <c r="AC56" s="48">
        <v>6.7949999999999999</v>
      </c>
      <c r="AD56" s="48">
        <v>6.4520000000000017</v>
      </c>
      <c r="AE56" s="48">
        <v>3.2259999999999973</v>
      </c>
      <c r="AF56" s="48">
        <v>2.3239999999999998</v>
      </c>
      <c r="AG56" s="69">
        <v>18.792999999999999</v>
      </c>
      <c r="AH56" s="48">
        <f>SUM(AH52:AH55)</f>
        <v>-17.16</v>
      </c>
      <c r="AI56" s="48">
        <f>SUM(AI52:AI55)</f>
        <v>-3.3699999999999992</v>
      </c>
      <c r="AJ56" s="48">
        <f>SUM(AJ52:AJ55)</f>
        <v>-10.402000000000003</v>
      </c>
      <c r="AK56" s="48">
        <f>SUM(AK52:AK55)</f>
        <v>7.9510000000000023</v>
      </c>
      <c r="AL56" s="69">
        <f>SUM(AL52:AL55)</f>
        <v>-22.981000000000002</v>
      </c>
      <c r="AM56" s="48">
        <v>-8.5169999999999995</v>
      </c>
      <c r="AN56" s="48">
        <v>-22.732307999999996</v>
      </c>
      <c r="AO56" s="48">
        <v>26.50094199904412</v>
      </c>
      <c r="AP56" s="48">
        <v>1.7170580009558754</v>
      </c>
      <c r="AQ56" s="69">
        <v>-3.0240000000000009</v>
      </c>
      <c r="AR56" s="48">
        <v>-69.788131891374093</v>
      </c>
      <c r="AS56" s="48">
        <v>48.864980632185052</v>
      </c>
      <c r="AT56" s="48">
        <v>-34.16391320260206</v>
      </c>
      <c r="AU56" s="48">
        <v>30.353770216222358</v>
      </c>
      <c r="AV56" s="69">
        <v>-24.736000000000004</v>
      </c>
      <c r="AW56" s="48">
        <v>-41.488</v>
      </c>
      <c r="AX56" s="48">
        <v>-27.04</v>
      </c>
      <c r="AY56" s="48">
        <v>27.567999999999998</v>
      </c>
      <c r="AZ56" s="48">
        <v>4.2240000000000038</v>
      </c>
      <c r="BA56" s="69">
        <v>-36.735999999999997</v>
      </c>
      <c r="BB56" s="48">
        <v>-6.1250000000000009</v>
      </c>
      <c r="BC56" s="48">
        <v>-11.889000000000001</v>
      </c>
      <c r="BD56" s="48">
        <v>27.469000000000001</v>
      </c>
      <c r="BE56" s="48">
        <v>1.3469999999999995</v>
      </c>
      <c r="BF56" s="179">
        <v>10.802000000000001</v>
      </c>
      <c r="BG56" s="48">
        <v>-13.33</v>
      </c>
      <c r="BH56" s="48">
        <v>-8.8539999999999992</v>
      </c>
      <c r="BJ56" s="155"/>
    </row>
    <row r="57" spans="1:66" s="17" customFormat="1" ht="16.5" thickBot="1" x14ac:dyDescent="0.45">
      <c r="A57" s="21"/>
      <c r="B57" s="21"/>
      <c r="C57" s="2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F57" s="51"/>
      <c r="BJ57" s="155"/>
    </row>
    <row r="58" spans="1:66" ht="16.5" thickBot="1" x14ac:dyDescent="0.45">
      <c r="A58" s="1" t="s">
        <v>133</v>
      </c>
      <c r="B58" s="1" t="s">
        <v>134</v>
      </c>
      <c r="C58" s="2"/>
      <c r="D58" s="3" t="str">
        <f t="shared" ref="D58:AI58" si="20">D1</f>
        <v>1T15</v>
      </c>
      <c r="E58" s="3" t="str">
        <f t="shared" si="20"/>
        <v>2T15</v>
      </c>
      <c r="F58" s="3" t="str">
        <f t="shared" si="20"/>
        <v>3T15</v>
      </c>
      <c r="G58" s="3" t="str">
        <f t="shared" si="20"/>
        <v>4T15</v>
      </c>
      <c r="H58" s="4">
        <f t="shared" si="20"/>
        <v>2015</v>
      </c>
      <c r="I58" s="3" t="str">
        <f t="shared" si="20"/>
        <v>1T16</v>
      </c>
      <c r="J58" s="3" t="str">
        <f t="shared" si="20"/>
        <v>2T16</v>
      </c>
      <c r="K58" s="3" t="str">
        <f t="shared" si="20"/>
        <v>3T16</v>
      </c>
      <c r="L58" s="3" t="str">
        <f t="shared" si="20"/>
        <v>4T16</v>
      </c>
      <c r="M58" s="4">
        <f t="shared" si="20"/>
        <v>2016</v>
      </c>
      <c r="N58" s="3" t="str">
        <f t="shared" si="20"/>
        <v>1T17</v>
      </c>
      <c r="O58" s="3" t="str">
        <f t="shared" si="20"/>
        <v>2T17</v>
      </c>
      <c r="P58" s="3" t="str">
        <f t="shared" si="20"/>
        <v>3T17</v>
      </c>
      <c r="Q58" s="3" t="str">
        <f t="shared" si="20"/>
        <v>4T17</v>
      </c>
      <c r="R58" s="4">
        <f t="shared" si="20"/>
        <v>2017</v>
      </c>
      <c r="S58" s="3" t="str">
        <f t="shared" si="20"/>
        <v>1T18</v>
      </c>
      <c r="T58" s="3" t="str">
        <f t="shared" si="20"/>
        <v>2T18</v>
      </c>
      <c r="U58" s="3" t="str">
        <f t="shared" si="20"/>
        <v>3T18</v>
      </c>
      <c r="V58" s="3" t="str">
        <f t="shared" si="20"/>
        <v>4T18</v>
      </c>
      <c r="W58" s="4">
        <f t="shared" si="20"/>
        <v>2018</v>
      </c>
      <c r="X58" s="3" t="str">
        <f t="shared" si="20"/>
        <v>1T19</v>
      </c>
      <c r="Y58" s="3" t="str">
        <f t="shared" si="20"/>
        <v>2T19</v>
      </c>
      <c r="Z58" s="3" t="str">
        <f t="shared" si="20"/>
        <v>3T19</v>
      </c>
      <c r="AA58" s="3" t="str">
        <f t="shared" si="20"/>
        <v>4T19</v>
      </c>
      <c r="AB58" s="4">
        <f t="shared" si="20"/>
        <v>2019</v>
      </c>
      <c r="AC58" s="3" t="str">
        <f t="shared" si="20"/>
        <v>1T20</v>
      </c>
      <c r="AD58" s="3" t="str">
        <f t="shared" si="20"/>
        <v>2T20</v>
      </c>
      <c r="AE58" s="3" t="str">
        <f t="shared" si="20"/>
        <v>3T20</v>
      </c>
      <c r="AF58" s="3" t="str">
        <f t="shared" si="20"/>
        <v>4T20</v>
      </c>
      <c r="AG58" s="4">
        <f t="shared" si="20"/>
        <v>2020</v>
      </c>
      <c r="AH58" s="3" t="str">
        <f t="shared" si="20"/>
        <v>1T21</v>
      </c>
      <c r="AI58" s="3" t="str">
        <f t="shared" si="20"/>
        <v>2T21</v>
      </c>
      <c r="AJ58" s="3" t="str">
        <f t="shared" ref="AJ58:BB58" si="21">AJ1</f>
        <v>3T21</v>
      </c>
      <c r="AK58" s="3" t="str">
        <f t="shared" si="21"/>
        <v>4T21</v>
      </c>
      <c r="AL58" s="4">
        <f t="shared" si="21"/>
        <v>2021</v>
      </c>
      <c r="AM58" s="3" t="str">
        <f t="shared" si="21"/>
        <v>1T22</v>
      </c>
      <c r="AN58" s="3" t="str">
        <f t="shared" si="21"/>
        <v>2T22</v>
      </c>
      <c r="AO58" s="3" t="str">
        <f t="shared" si="21"/>
        <v>3T22</v>
      </c>
      <c r="AP58" s="3" t="str">
        <f t="shared" si="21"/>
        <v>4T22</v>
      </c>
      <c r="AQ58" s="4">
        <f t="shared" si="21"/>
        <v>2022</v>
      </c>
      <c r="AR58" s="3" t="str">
        <f t="shared" si="21"/>
        <v>1T23</v>
      </c>
      <c r="AS58" s="3" t="str">
        <f t="shared" si="21"/>
        <v>2T23</v>
      </c>
      <c r="AT58" s="3" t="str">
        <f t="shared" si="21"/>
        <v>3T23</v>
      </c>
      <c r="AU58" s="3" t="s">
        <v>37</v>
      </c>
      <c r="AV58" s="4">
        <v>2023</v>
      </c>
      <c r="AW58" s="3" t="str">
        <f t="shared" si="21"/>
        <v>1T24</v>
      </c>
      <c r="AX58" s="3" t="str">
        <f t="shared" si="21"/>
        <v>2T24</v>
      </c>
      <c r="AY58" s="3" t="str">
        <f t="shared" si="21"/>
        <v>3T24</v>
      </c>
      <c r="AZ58" s="3" t="str">
        <f t="shared" si="21"/>
        <v>4T24</v>
      </c>
      <c r="BA58" s="4">
        <f t="shared" si="21"/>
        <v>2024</v>
      </c>
      <c r="BB58" s="3" t="str">
        <f t="shared" si="21"/>
        <v>1T25</v>
      </c>
      <c r="BC58" s="3" t="s">
        <v>383</v>
      </c>
      <c r="BD58" s="3" t="s">
        <v>384</v>
      </c>
      <c r="BE58" s="3" t="s">
        <v>385</v>
      </c>
      <c r="BF58" s="4">
        <v>2025</v>
      </c>
      <c r="BG58" s="3" t="s">
        <v>386</v>
      </c>
      <c r="BH58" s="3" t="s">
        <v>387</v>
      </c>
      <c r="BJ58" s="155"/>
    </row>
    <row r="59" spans="1:66" s="17" customFormat="1" ht="15.75" customHeight="1" x14ac:dyDescent="0.4">
      <c r="A59" s="9" t="s">
        <v>135</v>
      </c>
      <c r="B59" s="9" t="s">
        <v>136</v>
      </c>
      <c r="C59" s="9"/>
      <c r="D59" s="6">
        <v>-4.5720000000000001</v>
      </c>
      <c r="E59" s="6">
        <v>-2.4843653240800005</v>
      </c>
      <c r="F59" s="6">
        <v>-8.1372332759199999</v>
      </c>
      <c r="G59" s="6">
        <v>-8.30797663370309</v>
      </c>
      <c r="H59" s="66">
        <v>-22.029575233703088</v>
      </c>
      <c r="I59" s="6">
        <v>-8.354656297</v>
      </c>
      <c r="J59" s="6">
        <v>-7.5965203000000869E-2</v>
      </c>
      <c r="K59" s="6">
        <v>-5.8788657969999996</v>
      </c>
      <c r="L59" s="6">
        <v>-6.8086310509999954</v>
      </c>
      <c r="M59" s="160">
        <v>-21.113462050999996</v>
      </c>
      <c r="N59" s="6">
        <v>-5.0999999999999996</v>
      </c>
      <c r="O59" s="6">
        <v>-3.1</v>
      </c>
      <c r="P59" s="6">
        <v>-2.6035944799999999</v>
      </c>
      <c r="Q59" s="6">
        <v>-8.1166807299999988</v>
      </c>
      <c r="R59" s="161">
        <v>-18.904123139999999</v>
      </c>
      <c r="S59" s="6">
        <v>-3.3164983899999996</v>
      </c>
      <c r="T59" s="6">
        <v>-3.0779999999999998</v>
      </c>
      <c r="U59" s="6">
        <v>-5.3929625029040498</v>
      </c>
      <c r="V59" s="6">
        <v>-5.764802779470843</v>
      </c>
      <c r="W59" s="75">
        <v>-17.552263672374892</v>
      </c>
      <c r="X59" s="6">
        <v>-3.7163736470760433</v>
      </c>
      <c r="Y59" s="6">
        <v>-5.3891827259649459</v>
      </c>
      <c r="Z59" s="6">
        <v>-6.3266863163498348</v>
      </c>
      <c r="AA59" s="6">
        <v>-5.5801749624031753</v>
      </c>
      <c r="AB59" s="161">
        <v>-21.013000000000002</v>
      </c>
      <c r="AC59" s="6">
        <v>-3.7693346399999998</v>
      </c>
      <c r="AD59" s="6">
        <v>-2.9012955200000001</v>
      </c>
      <c r="AE59" s="6">
        <v>-2.6119209432797699</v>
      </c>
      <c r="AF59" s="6">
        <v>-1.8174488967202298</v>
      </c>
      <c r="AG59" s="161">
        <v>-11.1</v>
      </c>
      <c r="AH59" s="6">
        <v>-2.1890000000000001</v>
      </c>
      <c r="AI59" s="6">
        <v>-3.0801752300000005</v>
      </c>
      <c r="AJ59" s="6">
        <v>-2.5630000000000002</v>
      </c>
      <c r="AK59" s="6">
        <v>-3.8780000000000001</v>
      </c>
      <c r="AL59" s="76">
        <v>-11.710175230000001</v>
      </c>
      <c r="AM59" s="6">
        <v>-4.5369968699999896</v>
      </c>
      <c r="AN59" s="6">
        <v>-5.386565459999999</v>
      </c>
      <c r="AO59" s="6">
        <v>-3.3722193199999997</v>
      </c>
      <c r="AP59" s="6">
        <v>-3.6</v>
      </c>
      <c r="AQ59" s="162">
        <v>-16.896000000000001</v>
      </c>
      <c r="AR59" s="6">
        <v>-1.482</v>
      </c>
      <c r="AS59" s="6">
        <v>-2.718</v>
      </c>
      <c r="AT59" s="6">
        <v>-7.9000186100000001</v>
      </c>
      <c r="AU59" s="6">
        <v>-11.220981389999999</v>
      </c>
      <c r="AV59" s="75">
        <v>-23.320999999999998</v>
      </c>
      <c r="AW59" s="6">
        <v>-5.1289999999999996</v>
      </c>
      <c r="AX59" s="6">
        <v>-6.3289999999999997</v>
      </c>
      <c r="AY59" s="6">
        <v>-5.4316332100000002</v>
      </c>
      <c r="AZ59" s="6">
        <v>-8.0993667899999977</v>
      </c>
      <c r="BA59" s="161">
        <v>-24.989000000000001</v>
      </c>
      <c r="BB59" s="6">
        <v>-6.1779999999999999</v>
      </c>
      <c r="BC59" s="6">
        <v>-9.2449999999999992</v>
      </c>
      <c r="BD59" s="6">
        <v>-9.8700633999999994</v>
      </c>
      <c r="BE59" s="6">
        <v>-5.4675484900000004</v>
      </c>
      <c r="BF59" s="161">
        <v>-30.76061189</v>
      </c>
      <c r="BG59" s="6">
        <v>-6.8436657799999967</v>
      </c>
      <c r="BH59" s="6">
        <v>-5.0921693300000035</v>
      </c>
      <c r="BI59" s="121"/>
      <c r="BJ59" s="155"/>
      <c r="BK59" s="121"/>
      <c r="BL59" s="121"/>
      <c r="BM59" s="121"/>
      <c r="BN59" s="121"/>
    </row>
    <row r="60" spans="1:66" s="17" customFormat="1" x14ac:dyDescent="0.4">
      <c r="A60" s="9" t="s">
        <v>137</v>
      </c>
      <c r="B60" s="9" t="s">
        <v>138</v>
      </c>
      <c r="C60" s="9"/>
      <c r="D60" s="6">
        <v>-0.33600000000000002</v>
      </c>
      <c r="E60" s="6">
        <v>-0.20345059870309301</v>
      </c>
      <c r="F60" s="6">
        <v>-4.5166149999999998</v>
      </c>
      <c r="G60" s="6">
        <v>-0.410951505480943</v>
      </c>
      <c r="H60" s="66">
        <v>-5.4328525054809429</v>
      </c>
      <c r="I60" s="6">
        <v>-1.46795345</v>
      </c>
      <c r="J60" s="6">
        <v>-1.4148444199999997</v>
      </c>
      <c r="K60" s="6">
        <v>-2.8989005800000003</v>
      </c>
      <c r="L60" s="6">
        <v>-1.7240187102499975</v>
      </c>
      <c r="M60" s="160">
        <v>-7.5087637102499976</v>
      </c>
      <c r="N60" s="6">
        <v>-1.8</v>
      </c>
      <c r="O60" s="6">
        <v>-1.2</v>
      </c>
      <c r="P60" s="6">
        <v>-1.2487986099999979</v>
      </c>
      <c r="Q60" s="6">
        <v>-1.5690269800000038</v>
      </c>
      <c r="R60" s="161">
        <v>-5.8240361900000064</v>
      </c>
      <c r="S60" s="6">
        <v>-0.12398007000000232</v>
      </c>
      <c r="T60" s="6">
        <v>-2.3039999999999998</v>
      </c>
      <c r="U60" s="6">
        <v>-1.5247103146896031</v>
      </c>
      <c r="V60" s="6">
        <v>-4.6711065929354678</v>
      </c>
      <c r="W60" s="75">
        <v>-8.6237969776250729</v>
      </c>
      <c r="X60" s="6">
        <v>-5.3574948012416233</v>
      </c>
      <c r="Y60" s="6">
        <v>-7.6434076528141874</v>
      </c>
      <c r="Z60" s="6">
        <v>-7.7304737279319635</v>
      </c>
      <c r="AA60" s="6">
        <v>-16.061602641828156</v>
      </c>
      <c r="AB60" s="161">
        <v>-36.793999999999997</v>
      </c>
      <c r="AC60" s="6">
        <v>-7.4149111769999996</v>
      </c>
      <c r="AD60" s="6">
        <v>-2.1468131300000026</v>
      </c>
      <c r="AE60" s="6">
        <v>-1.1336752099999972</v>
      </c>
      <c r="AF60" s="6">
        <v>-2.2446004830000001</v>
      </c>
      <c r="AG60" s="161">
        <v>-12.939999999999998</v>
      </c>
      <c r="AH60" s="6">
        <v>-5.8140000000000001</v>
      </c>
      <c r="AI60" s="6">
        <v>-3.8895361109999995</v>
      </c>
      <c r="AJ60" s="6">
        <v>-3</v>
      </c>
      <c r="AK60" s="6">
        <v>-1.2430000000000001</v>
      </c>
      <c r="AL60" s="66">
        <v>-13.946536111</v>
      </c>
      <c r="AM60" s="6">
        <v>-1.9937514674942709</v>
      </c>
      <c r="AN60" s="6">
        <v>-2.06051981750573</v>
      </c>
      <c r="AO60" s="6">
        <v>-1.2387357990000001</v>
      </c>
      <c r="AP60" s="6">
        <v>-6.4859999999999998</v>
      </c>
      <c r="AQ60" s="160">
        <v>-11.78</v>
      </c>
      <c r="AR60" s="6">
        <v>-7.5579999999999998</v>
      </c>
      <c r="AS60" s="6">
        <v>-3.4180000000000001</v>
      </c>
      <c r="AT60" s="6">
        <v>-9.7269516500000002</v>
      </c>
      <c r="AU60" s="6">
        <v>-8.9180483499999994</v>
      </c>
      <c r="AV60" s="75">
        <v>-29.620999999999999</v>
      </c>
      <c r="AW60" s="6">
        <v>-3.2029999999999998</v>
      </c>
      <c r="AX60" s="6">
        <v>-1.9259999999999999</v>
      </c>
      <c r="AY60" s="6">
        <v>-3.1146777999999999</v>
      </c>
      <c r="AZ60" s="6">
        <v>-3.0673222000000004</v>
      </c>
      <c r="BA60" s="161">
        <v>-11.311</v>
      </c>
      <c r="BB60" s="6">
        <v>-4.0460000000000003</v>
      </c>
      <c r="BC60" s="6">
        <v>-5.6210000000000004</v>
      </c>
      <c r="BD60" s="6">
        <v>-4.0795771700000003</v>
      </c>
      <c r="BE60" s="6">
        <v>0.92858194000000083</v>
      </c>
      <c r="BF60" s="161">
        <v>-12.817995230000001</v>
      </c>
      <c r="BG60" s="6">
        <v>-3.4278602399999998</v>
      </c>
      <c r="BH60" s="6">
        <v>-1.7096839799999999</v>
      </c>
      <c r="BJ60" s="155"/>
    </row>
    <row r="61" spans="1:66" s="17" customFormat="1" x14ac:dyDescent="0.4">
      <c r="A61" s="9" t="s">
        <v>139</v>
      </c>
      <c r="B61" s="9" t="s">
        <v>140</v>
      </c>
      <c r="C61" s="9"/>
      <c r="D61" s="6">
        <v>-2.2799999999999998</v>
      </c>
      <c r="E61" s="6">
        <v>-4.3583515999999998</v>
      </c>
      <c r="F61" s="6">
        <v>-11.113710000000001</v>
      </c>
      <c r="G61" s="6">
        <v>-8.6640718608159606</v>
      </c>
      <c r="H61" s="66">
        <v>-26.436133460815963</v>
      </c>
      <c r="I61" s="6">
        <v>-6.3724952300000002</v>
      </c>
      <c r="J61" s="6">
        <v>-13.993296979999997</v>
      </c>
      <c r="K61" s="6">
        <v>-9.2519943000000069</v>
      </c>
      <c r="L61" s="6">
        <v>-6.1487885519999956</v>
      </c>
      <c r="M61" s="66">
        <v>-35.768079831999998</v>
      </c>
      <c r="N61" s="6">
        <v>-6.5</v>
      </c>
      <c r="O61" s="6">
        <v>-2.4</v>
      </c>
      <c r="P61" s="6">
        <v>-2.0266069099999999</v>
      </c>
      <c r="Q61" s="6">
        <v>-4.7022922900000008</v>
      </c>
      <c r="R61" s="75">
        <v>-15.666840669999999</v>
      </c>
      <c r="S61" s="6">
        <v>-8.0335215399999989</v>
      </c>
      <c r="T61" s="6">
        <v>-12.481</v>
      </c>
      <c r="U61" s="6">
        <v>-14.419793182406348</v>
      </c>
      <c r="V61" s="6">
        <v>-18.876624627593667</v>
      </c>
      <c r="W61" s="75">
        <v>-53.810939350000012</v>
      </c>
      <c r="X61" s="6">
        <v>-18.462131551682329</v>
      </c>
      <c r="Y61" s="6">
        <v>-38.985409621220882</v>
      </c>
      <c r="Z61" s="6">
        <v>-33.958509980592346</v>
      </c>
      <c r="AA61" s="6">
        <v>-12.884893933869421</v>
      </c>
      <c r="AB61" s="75">
        <v>-104.292</v>
      </c>
      <c r="AC61" s="6">
        <v>-16.981754183000003</v>
      </c>
      <c r="AD61" s="6">
        <v>-4.2668913500000016</v>
      </c>
      <c r="AE61" s="6">
        <v>-7.5607944713275614</v>
      </c>
      <c r="AF61" s="6">
        <v>-3.3925599956724319</v>
      </c>
      <c r="AG61" s="75">
        <v>-32.201999999999998</v>
      </c>
      <c r="AH61" s="6">
        <v>-16.818000000000001</v>
      </c>
      <c r="AI61" s="6">
        <v>-5.5839080662900225</v>
      </c>
      <c r="AJ61" s="6">
        <v>-2.5</v>
      </c>
      <c r="AK61" s="6">
        <v>-1.9019999999999999</v>
      </c>
      <c r="AL61" s="66">
        <v>-26.803908066290024</v>
      </c>
      <c r="AM61" s="6">
        <v>-7.7078827274484381</v>
      </c>
      <c r="AN61" s="6">
        <v>-3.7382676575515665</v>
      </c>
      <c r="AO61" s="6">
        <v>-2.4230448810000018</v>
      </c>
      <c r="AP61" s="6">
        <v>-1.8979999999999999</v>
      </c>
      <c r="AQ61" s="66">
        <v>-15.778</v>
      </c>
      <c r="AR61" s="6">
        <v>-2.2919999999999998</v>
      </c>
      <c r="AS61" s="6">
        <v>-9.5590000000000011</v>
      </c>
      <c r="AT61" s="6">
        <v>-3.6526378999999984</v>
      </c>
      <c r="AU61" s="6">
        <v>-13.069362099999999</v>
      </c>
      <c r="AV61" s="75">
        <v>-28.573</v>
      </c>
      <c r="AW61" s="6">
        <v>-6.06</v>
      </c>
      <c r="AX61" s="6">
        <v>-4.2859999999999996</v>
      </c>
      <c r="AY61" s="6">
        <v>-3.5986889899999999</v>
      </c>
      <c r="AZ61" s="6">
        <v>-6.3253110100000018</v>
      </c>
      <c r="BA61" s="75">
        <v>-20.27</v>
      </c>
      <c r="BB61" s="6">
        <v>-4.3440000000000003</v>
      </c>
      <c r="BC61" s="6">
        <v>-9.0709999999999997</v>
      </c>
      <c r="BD61" s="6">
        <v>-5.9923594299999996</v>
      </c>
      <c r="BE61" s="6">
        <v>-8.9570334500000026</v>
      </c>
      <c r="BF61" s="161">
        <v>-28.364392880000004</v>
      </c>
      <c r="BG61" s="6">
        <v>-31.722473980000007</v>
      </c>
      <c r="BH61" s="6">
        <v>-18.542146689999992</v>
      </c>
      <c r="BJ61" s="155"/>
    </row>
    <row r="62" spans="1:66" s="17" customFormat="1" x14ac:dyDescent="0.4">
      <c r="A62" s="9" t="s">
        <v>141</v>
      </c>
      <c r="B62" s="9" t="s">
        <v>142</v>
      </c>
      <c r="C62" s="9"/>
      <c r="D62" s="6">
        <v>0</v>
      </c>
      <c r="E62" s="6">
        <v>0</v>
      </c>
      <c r="F62" s="6">
        <v>-0.21099999999999999</v>
      </c>
      <c r="G62" s="6">
        <v>2.8000000000000001E-2</v>
      </c>
      <c r="H62" s="66">
        <v>-7.0999999999999994E-2</v>
      </c>
      <c r="I62" s="6">
        <v>1.9E-2</v>
      </c>
      <c r="J62" s="6">
        <v>0.97199999999999998</v>
      </c>
      <c r="K62" s="6">
        <v>2.5000000000000001E-2</v>
      </c>
      <c r="L62" s="6">
        <v>-4.3120000000000003</v>
      </c>
      <c r="M62" s="66">
        <v>-3.2959999999999998</v>
      </c>
      <c r="N62" s="6">
        <v>-3.6999999999999998E-2</v>
      </c>
      <c r="O62" s="6">
        <v>0.81100000000000005</v>
      </c>
      <c r="P62" s="6">
        <v>0.86999999999999988</v>
      </c>
      <c r="Q62" s="6">
        <v>0.88700000000000023</v>
      </c>
      <c r="R62" s="75">
        <v>2.5310000000000001</v>
      </c>
      <c r="S62" s="6">
        <v>0.78600000000000003</v>
      </c>
      <c r="T62" s="6">
        <v>-3.3039999999999998</v>
      </c>
      <c r="U62" s="6">
        <v>0.66100000000000003</v>
      </c>
      <c r="V62" s="6">
        <f>-76.322+78</f>
        <v>1.6779999999999973</v>
      </c>
      <c r="W62" s="75">
        <f>-78.179+78</f>
        <v>-0.17900000000000205</v>
      </c>
      <c r="X62" s="6">
        <v>2.7E-2</v>
      </c>
      <c r="Y62" s="6">
        <v>-0.14100000000000001</v>
      </c>
      <c r="Z62" s="6">
        <v>-4.9000000000000002E-2</v>
      </c>
      <c r="AA62" s="6">
        <f>-35.046+35</f>
        <v>-4.5999999999999375E-2</v>
      </c>
      <c r="AB62" s="75">
        <f>SUM(X62:AA62)</f>
        <v>-0.20899999999999941</v>
      </c>
      <c r="AC62" s="6">
        <v>2.5000000000000001E-2</v>
      </c>
      <c r="AD62" s="6">
        <v>1.7999999999999995E-2</v>
      </c>
      <c r="AE62" s="6">
        <v>-3.7999999999999999E-2</v>
      </c>
      <c r="AF62" s="6">
        <v>-3.2037552099999997</v>
      </c>
      <c r="AG62" s="75">
        <v>-3.1987552099999998</v>
      </c>
      <c r="AH62" s="6">
        <v>-1.7000000000000001E-2</v>
      </c>
      <c r="AI62" s="6">
        <v>-1.3999999999999999E-2</v>
      </c>
      <c r="AJ62" s="6">
        <v>2.9999999999999992E-3</v>
      </c>
      <c r="AK62" s="6">
        <v>-0.30199999999999999</v>
      </c>
      <c r="AL62" s="66">
        <v>-0.33</v>
      </c>
      <c r="AM62" s="6">
        <v>2E-3</v>
      </c>
      <c r="AN62" s="6">
        <v>-0.03</v>
      </c>
      <c r="AO62" s="6">
        <v>-1.3000000000000001E-2</v>
      </c>
      <c r="AP62" s="6">
        <v>0.222</v>
      </c>
      <c r="AQ62" s="66">
        <v>0.18099999999999999</v>
      </c>
      <c r="AR62" s="6">
        <v>0.52400000000000002</v>
      </c>
      <c r="AS62" s="6">
        <v>-0.64294622704855131</v>
      </c>
      <c r="AT62" s="6">
        <v>-2.3991899014936693</v>
      </c>
      <c r="AU62" s="77">
        <v>-1.8118638714577791</v>
      </c>
      <c r="AV62" s="75">
        <v>-4.33</v>
      </c>
      <c r="AW62" s="6">
        <v>-0.3</v>
      </c>
      <c r="AX62" s="6">
        <f>-21.64+22.5</f>
        <v>0.85999999999999943</v>
      </c>
      <c r="AY62" s="6">
        <v>-0.85299999999999743</v>
      </c>
      <c r="AZ62" s="6">
        <f>-22.512+21.5</f>
        <v>-1.0120000000000005</v>
      </c>
      <c r="BA62" s="75">
        <f>-45.305+44</f>
        <v>-1.3049999999999997</v>
      </c>
      <c r="BB62" s="6">
        <v>-0.82599999999999996</v>
      </c>
      <c r="BC62" s="6">
        <v>16.410999999999998</v>
      </c>
      <c r="BD62" s="6">
        <v>-2.6710000000000007</v>
      </c>
      <c r="BE62" s="6">
        <v>-4.96</v>
      </c>
      <c r="BF62" s="161">
        <v>7.9489999999999998</v>
      </c>
      <c r="BG62" s="6">
        <v>-3.3090000000000002</v>
      </c>
      <c r="BH62" s="6">
        <v>-9.0069999999999997</v>
      </c>
      <c r="BJ62" s="155"/>
    </row>
    <row r="63" spans="1:66" s="17" customFormat="1" ht="18" customHeight="1" x14ac:dyDescent="0.4">
      <c r="A63" s="58" t="s">
        <v>143</v>
      </c>
      <c r="B63" s="58" t="s">
        <v>144</v>
      </c>
      <c r="C63" s="21"/>
      <c r="D63" s="59">
        <v>-7.1880000000000006</v>
      </c>
      <c r="E63" s="59">
        <v>-7.0461675227830938</v>
      </c>
      <c r="F63" s="59">
        <v>-23.978558275920001</v>
      </c>
      <c r="G63" s="59">
        <v>-17.354999999999997</v>
      </c>
      <c r="H63" s="60">
        <v>-53.969561199999987</v>
      </c>
      <c r="I63" s="59">
        <v>-16.176104977000001</v>
      </c>
      <c r="J63" s="59">
        <v>-14.512106602999998</v>
      </c>
      <c r="K63" s="59">
        <v>-18.004760677000007</v>
      </c>
      <c r="L63" s="59">
        <v>-18.993438313249989</v>
      </c>
      <c r="M63" s="60">
        <v>-67.686305593249998</v>
      </c>
      <c r="N63" s="59">
        <v>-13.426000000000002</v>
      </c>
      <c r="O63" s="59">
        <v>-5.9250000000000025</v>
      </c>
      <c r="P63" s="59">
        <v>-5.0089999999999977</v>
      </c>
      <c r="Q63" s="59">
        <v>-13.501000000000003</v>
      </c>
      <c r="R63" s="78">
        <v>-37.864000000000004</v>
      </c>
      <c r="S63" s="59">
        <v>-10.688000000000001</v>
      </c>
      <c r="T63" s="59">
        <v>-21.166999999999998</v>
      </c>
      <c r="U63" s="59">
        <v>-20.676465999999998</v>
      </c>
      <c r="V63" s="59">
        <f>SUM(V59:V62)</f>
        <v>-27.634533999999981</v>
      </c>
      <c r="W63" s="78">
        <f>SUM(S63:V63)</f>
        <v>-80.165999999999968</v>
      </c>
      <c r="X63" s="59">
        <v>-27.508999999999993</v>
      </c>
      <c r="Y63" s="59">
        <v>-52.160000000000004</v>
      </c>
      <c r="Z63" s="59">
        <v>-48.064670024874161</v>
      </c>
      <c r="AA63" s="59">
        <f>SUM(AA59:AA62)</f>
        <v>-34.572671538100749</v>
      </c>
      <c r="AB63" s="78">
        <f>SUM(AB59:AB62)</f>
        <v>-162.30799999999999</v>
      </c>
      <c r="AC63" s="59">
        <v>-28.141000000000005</v>
      </c>
      <c r="AD63" s="59">
        <v>-9.2970000000000041</v>
      </c>
      <c r="AE63" s="59">
        <v>-11.344390624607328</v>
      </c>
      <c r="AF63" s="59">
        <v>-10.658364585392661</v>
      </c>
      <c r="AG63" s="78">
        <v>-59.440755209999999</v>
      </c>
      <c r="AH63" s="59">
        <v>-24.838000000000001</v>
      </c>
      <c r="AI63" s="59">
        <v>-12.567619407290021</v>
      </c>
      <c r="AJ63" s="59">
        <v>-8.06</v>
      </c>
      <c r="AK63" s="59">
        <v>-7.3250000000000002</v>
      </c>
      <c r="AL63" s="60">
        <v>-52.790619407290023</v>
      </c>
      <c r="AM63" s="59">
        <v>-14.236631064942697</v>
      </c>
      <c r="AN63" s="59">
        <v>-11.225</v>
      </c>
      <c r="AO63" s="59">
        <v>-7.0470000000000015</v>
      </c>
      <c r="AP63" s="59">
        <v>-11.762</v>
      </c>
      <c r="AQ63" s="60">
        <v>-44.273000000000003</v>
      </c>
      <c r="AR63" s="59">
        <v>-10.808</v>
      </c>
      <c r="AS63" s="59">
        <v>-16.337946227048551</v>
      </c>
      <c r="AT63" s="59">
        <v>-23.678798061493673</v>
      </c>
      <c r="AU63" s="59">
        <v>-35.020255711457757</v>
      </c>
      <c r="AV63" s="78">
        <v>-85.844999999999985</v>
      </c>
      <c r="AW63" s="59">
        <f>SUM(AW59:AW62)</f>
        <v>-14.692</v>
      </c>
      <c r="AX63" s="59">
        <f t="shared" ref="AX63:BC63" si="22">SUM(AX59:AX62)</f>
        <v>-11.680999999999999</v>
      </c>
      <c r="AY63" s="59">
        <f t="shared" si="22"/>
        <v>-12.997999999999998</v>
      </c>
      <c r="AZ63" s="59">
        <f t="shared" si="22"/>
        <v>-18.503999999999998</v>
      </c>
      <c r="BA63" s="78">
        <f t="shared" si="22"/>
        <v>-57.874999999999993</v>
      </c>
      <c r="BB63" s="59">
        <f t="shared" si="22"/>
        <v>-15.394000000000002</v>
      </c>
      <c r="BC63" s="59">
        <f t="shared" si="22"/>
        <v>-7.5259999999999998</v>
      </c>
      <c r="BD63" s="59">
        <v>-22.651</v>
      </c>
      <c r="BE63" s="59">
        <v>-18.419</v>
      </c>
      <c r="BF63" s="196">
        <v>-63.996000000000002</v>
      </c>
      <c r="BG63" s="59">
        <v>-45.301000000000002</v>
      </c>
      <c r="BH63" s="59">
        <v>-34.351999999999997</v>
      </c>
      <c r="BJ63" s="155"/>
    </row>
    <row r="64" spans="1:66" s="17" customFormat="1" x14ac:dyDescent="0.4">
      <c r="A64" s="17" t="s">
        <v>145</v>
      </c>
      <c r="B64" s="17" t="s">
        <v>146</v>
      </c>
      <c r="D64" s="70">
        <v>0</v>
      </c>
      <c r="E64" s="70">
        <v>3.6</v>
      </c>
      <c r="F64" s="70">
        <v>4.2550000000000008</v>
      </c>
      <c r="G64" s="70">
        <v>24.4</v>
      </c>
      <c r="H64" s="71">
        <v>32.255000000000003</v>
      </c>
      <c r="I64" s="70">
        <v>3.3940000000000001</v>
      </c>
      <c r="J64" s="70">
        <v>3.9</v>
      </c>
      <c r="K64" s="70">
        <v>17.587</v>
      </c>
      <c r="L64" s="70">
        <v>16.50038580635065</v>
      </c>
      <c r="M64" s="71">
        <v>41.405546000000001</v>
      </c>
      <c r="N64" s="70">
        <v>1E-3</v>
      </c>
      <c r="O64" s="70">
        <v>2.653</v>
      </c>
      <c r="P64" s="70">
        <v>0.51000000000000023</v>
      </c>
      <c r="Q64" s="70">
        <v>0.22599999999999998</v>
      </c>
      <c r="R64" s="79">
        <v>3.3919999999999999</v>
      </c>
      <c r="S64" s="70">
        <v>1.0760000000000001</v>
      </c>
      <c r="T64" s="70">
        <v>2.9209999999999998</v>
      </c>
      <c r="U64" s="70">
        <v>1.1000000000000121E-2</v>
      </c>
      <c r="V64" s="53">
        <v>-1.8492940000000004</v>
      </c>
      <c r="W64" s="79">
        <v>2.1589999999999998</v>
      </c>
      <c r="X64" s="70">
        <v>0.19</v>
      </c>
      <c r="Y64" s="70">
        <v>4.3319999999999999</v>
      </c>
      <c r="Z64" s="70">
        <v>0.11599999999999966</v>
      </c>
      <c r="AA64" s="53">
        <v>0.36899999999999977</v>
      </c>
      <c r="AB64" s="79">
        <v>5.0069999999999997</v>
      </c>
      <c r="AC64" s="70">
        <v>0.41199999999999998</v>
      </c>
      <c r="AD64" s="70">
        <v>0</v>
      </c>
      <c r="AE64" s="70">
        <v>0.26500000000000007</v>
      </c>
      <c r="AF64" s="70">
        <f>82.777-82.5</f>
        <v>0.27700000000000102</v>
      </c>
      <c r="AG64" s="79">
        <f>SUM(AC64:AF64)</f>
        <v>0.95400000000000107</v>
      </c>
      <c r="AH64" s="70">
        <v>0.16500000000000001</v>
      </c>
      <c r="AI64" s="70">
        <v>0.24399999999999997</v>
      </c>
      <c r="AJ64" s="70">
        <v>0</v>
      </c>
      <c r="AK64" s="70">
        <f>13.26-13.26</f>
        <v>0</v>
      </c>
      <c r="AL64" s="71">
        <f>SUM(AH64:AK64)</f>
        <v>0.40899999999999997</v>
      </c>
      <c r="AM64" s="70">
        <v>0</v>
      </c>
      <c r="AN64" s="70">
        <v>3.0000000000000001E-3</v>
      </c>
      <c r="AO64" s="70">
        <v>0.10099999999999999</v>
      </c>
      <c r="AP64" s="70">
        <v>0.29900000000000004</v>
      </c>
      <c r="AQ64" s="71">
        <v>0.40300000000000002</v>
      </c>
      <c r="AR64" s="70">
        <v>0</v>
      </c>
      <c r="AS64" s="70">
        <v>-0.47889999999999966</v>
      </c>
      <c r="AT64" s="70">
        <v>0</v>
      </c>
      <c r="AU64" s="70">
        <v>0.47889999999999966</v>
      </c>
      <c r="AV64" s="79">
        <v>0</v>
      </c>
      <c r="AW64" s="70">
        <v>0</v>
      </c>
      <c r="AX64" s="70">
        <v>0.16</v>
      </c>
      <c r="AY64" s="70">
        <v>6.0990000000000002</v>
      </c>
      <c r="AZ64" s="53">
        <v>-5.0730000000000004</v>
      </c>
      <c r="BA64" s="79">
        <v>1.1859999999999999</v>
      </c>
      <c r="BB64" s="53">
        <v>0.39899999999999913</v>
      </c>
      <c r="BC64" s="53">
        <v>-0.10699999999999932</v>
      </c>
      <c r="BD64" s="53">
        <v>0.33900000000000041</v>
      </c>
      <c r="BE64" s="53">
        <v>0.96499999999999997</v>
      </c>
      <c r="BF64" s="197">
        <v>1.5960000000000001</v>
      </c>
      <c r="BG64" s="53">
        <v>0.82399999999999995</v>
      </c>
      <c r="BH64" s="53">
        <v>0.54400000000000004</v>
      </c>
      <c r="BJ64" s="155"/>
    </row>
    <row r="65" spans="1:62" s="17" customFormat="1" x14ac:dyDescent="0.4">
      <c r="A65" s="47" t="s">
        <v>147</v>
      </c>
      <c r="B65" s="47" t="s">
        <v>148</v>
      </c>
      <c r="C65" s="21"/>
      <c r="D65" s="48">
        <v>-7.1880000000000006</v>
      </c>
      <c r="E65" s="48">
        <v>-3.4461675227830937</v>
      </c>
      <c r="F65" s="48">
        <v>-19.723558275919999</v>
      </c>
      <c r="G65" s="48">
        <v>7.0450000000000017</v>
      </c>
      <c r="H65" s="69">
        <v>-21.714561199999984</v>
      </c>
      <c r="I65" s="48">
        <v>-12.782104977000001</v>
      </c>
      <c r="J65" s="48">
        <v>-10.612106602999997</v>
      </c>
      <c r="K65" s="48">
        <v>-0.41776067700000752</v>
      </c>
      <c r="L65" s="48">
        <v>-2.493052506899339</v>
      </c>
      <c r="M65" s="69">
        <v>-26.280759593249996</v>
      </c>
      <c r="N65" s="48">
        <v>-13.425000000000002</v>
      </c>
      <c r="O65" s="48">
        <v>-3.2720000000000025</v>
      </c>
      <c r="P65" s="48">
        <v>-4.498999999999997</v>
      </c>
      <c r="Q65" s="48">
        <v>-13.275000000000002</v>
      </c>
      <c r="R65" s="80">
        <v>-34.472000000000001</v>
      </c>
      <c r="S65" s="48">
        <v>-9.6120000000000001</v>
      </c>
      <c r="T65" s="48">
        <v>-18.245999999999999</v>
      </c>
      <c r="U65" s="48">
        <v>-20.665465999999999</v>
      </c>
      <c r="V65" s="48">
        <f>V63+V64</f>
        <v>-29.483827999999981</v>
      </c>
      <c r="W65" s="80">
        <f>W63+W64</f>
        <v>-78.006999999999962</v>
      </c>
      <c r="X65" s="48">
        <v>-27.318999999999992</v>
      </c>
      <c r="Y65" s="48">
        <v>-47.828000000000003</v>
      </c>
      <c r="Z65" s="48">
        <v>-47.948670024874161</v>
      </c>
      <c r="AA65" s="48">
        <f>AA63+AA64</f>
        <v>-34.20367153810075</v>
      </c>
      <c r="AB65" s="80">
        <f>AB63+AB64</f>
        <v>-157.30099999999999</v>
      </c>
      <c r="AC65" s="48">
        <v>-27.729000000000006</v>
      </c>
      <c r="AD65" s="48">
        <v>-9.2970000000000041</v>
      </c>
      <c r="AE65" s="48">
        <v>-11.079390624607328</v>
      </c>
      <c r="AF65" s="48">
        <f>AF63+AF64</f>
        <v>-10.38136458539266</v>
      </c>
      <c r="AG65" s="80">
        <f>SUM(AC65:AF65)</f>
        <v>-58.486755209999998</v>
      </c>
      <c r="AH65" s="48">
        <v>-24.673000000000002</v>
      </c>
      <c r="AI65" s="48">
        <v>-12.323619407290021</v>
      </c>
      <c r="AJ65" s="48">
        <v>-8.06</v>
      </c>
      <c r="AK65" s="48">
        <f>SUM(AK63:AK64)</f>
        <v>-7.3250000000000002</v>
      </c>
      <c r="AL65" s="69">
        <f>SUM(AH65:AK65)</f>
        <v>-52.381619407290032</v>
      </c>
      <c r="AM65" s="48">
        <v>-14.236631064942697</v>
      </c>
      <c r="AN65" s="48">
        <v>-11.222</v>
      </c>
      <c r="AO65" s="48">
        <v>-6.9460000000000015</v>
      </c>
      <c r="AP65" s="48">
        <v>-11.463000000000001</v>
      </c>
      <c r="AQ65" s="69">
        <v>-43.870000000000005</v>
      </c>
      <c r="AR65" s="48">
        <v>-10.808</v>
      </c>
      <c r="AS65" s="48">
        <v>-16.816846227048551</v>
      </c>
      <c r="AT65" s="48">
        <v>-23.678798061493673</v>
      </c>
      <c r="AU65" s="48">
        <v>-34.541355711457754</v>
      </c>
      <c r="AV65" s="80">
        <v>-85.844999999999985</v>
      </c>
      <c r="AW65" s="48">
        <f>SUM(AW63:AW64)</f>
        <v>-14.692</v>
      </c>
      <c r="AX65" s="48">
        <f t="shared" ref="AX65:BD65" si="23">SUM(AX63:AX64)</f>
        <v>-11.520999999999999</v>
      </c>
      <c r="AY65" s="48">
        <f t="shared" si="23"/>
        <v>-6.8989999999999974</v>
      </c>
      <c r="AZ65" s="48">
        <f t="shared" si="23"/>
        <v>-23.576999999999998</v>
      </c>
      <c r="BA65" s="80">
        <f t="shared" si="23"/>
        <v>-56.688999999999993</v>
      </c>
      <c r="BB65" s="48">
        <f t="shared" si="23"/>
        <v>-14.995000000000003</v>
      </c>
      <c r="BC65" s="48">
        <f t="shared" si="23"/>
        <v>-7.6329999999999991</v>
      </c>
      <c r="BD65" s="48">
        <f t="shared" si="23"/>
        <v>-22.311999999999998</v>
      </c>
      <c r="BE65" s="48">
        <v>-17.454000000000001</v>
      </c>
      <c r="BF65" s="198">
        <v>-62.400000000000006</v>
      </c>
      <c r="BG65" s="48">
        <v>-44.477000000000004</v>
      </c>
      <c r="BH65" s="48">
        <v>-33.808</v>
      </c>
      <c r="BJ65" s="155"/>
    </row>
    <row r="66" spans="1:62" s="17" customFormat="1" ht="16.5" thickBot="1" x14ac:dyDescent="0.45">
      <c r="A66" s="21"/>
      <c r="B66" s="21"/>
      <c r="C66" s="21"/>
      <c r="D66" s="51"/>
      <c r="E66" s="51"/>
      <c r="F66" s="6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F66" s="51"/>
      <c r="BJ66" s="155"/>
    </row>
    <row r="67" spans="1:62" s="17" customFormat="1" ht="16.5" thickBot="1" x14ac:dyDescent="0.45">
      <c r="A67" s="1" t="s">
        <v>149</v>
      </c>
      <c r="B67" s="1" t="s">
        <v>150</v>
      </c>
      <c r="C67" s="21"/>
      <c r="D67" s="48">
        <f t="shared" ref="D67:AT67" si="24">D49+D65</f>
        <v>1.1890000000000054</v>
      </c>
      <c r="E67" s="48">
        <f t="shared" si="24"/>
        <v>38.059832477216908</v>
      </c>
      <c r="F67" s="48">
        <f t="shared" si="24"/>
        <v>-15.954558275919991</v>
      </c>
      <c r="G67" s="48">
        <f t="shared" si="24"/>
        <v>39.539114239999996</v>
      </c>
      <c r="H67" s="69">
        <f t="shared" si="24"/>
        <v>64.405553040000029</v>
      </c>
      <c r="I67" s="48">
        <f t="shared" si="24"/>
        <v>2.9178950229999998</v>
      </c>
      <c r="J67" s="48">
        <f t="shared" si="24"/>
        <v>3.2508933970000022</v>
      </c>
      <c r="K67" s="48">
        <f t="shared" si="24"/>
        <v>15.958239322999997</v>
      </c>
      <c r="L67" s="48">
        <f t="shared" si="24"/>
        <v>26.971947493100657</v>
      </c>
      <c r="M67" s="69">
        <f t="shared" si="24"/>
        <v>49.162240406750001</v>
      </c>
      <c r="N67" s="48">
        <f t="shared" si="24"/>
        <v>5.9459999999999997</v>
      </c>
      <c r="O67" s="48">
        <f t="shared" si="24"/>
        <v>28.467999999999996</v>
      </c>
      <c r="P67" s="48">
        <f t="shared" si="24"/>
        <v>39.370000000000012</v>
      </c>
      <c r="Q67" s="48">
        <f t="shared" si="24"/>
        <v>45.12700000000001</v>
      </c>
      <c r="R67" s="69">
        <f t="shared" si="24"/>
        <v>118.91000000000003</v>
      </c>
      <c r="S67" s="48">
        <f t="shared" si="24"/>
        <v>19.421999999999997</v>
      </c>
      <c r="T67" s="48">
        <f t="shared" si="24"/>
        <v>32.896999999999991</v>
      </c>
      <c r="U67" s="48">
        <f t="shared" si="24"/>
        <v>45.584534000000019</v>
      </c>
      <c r="V67" s="48">
        <f t="shared" si="24"/>
        <v>16.144687875209023</v>
      </c>
      <c r="W67" s="69">
        <f t="shared" si="24"/>
        <v>114.04951587520905</v>
      </c>
      <c r="X67" s="48">
        <f t="shared" si="24"/>
        <v>16.925000000000008</v>
      </c>
      <c r="Y67" s="48">
        <f t="shared" si="24"/>
        <v>-34.679000000000002</v>
      </c>
      <c r="Z67" s="48">
        <f t="shared" si="24"/>
        <v>-15.639670024874164</v>
      </c>
      <c r="AA67" s="48">
        <f t="shared" si="24"/>
        <v>0.14660446189925125</v>
      </c>
      <c r="AB67" s="69">
        <f t="shared" si="24"/>
        <v>-33.244</v>
      </c>
      <c r="AC67" s="48">
        <f t="shared" si="24"/>
        <v>-13.941000000000006</v>
      </c>
      <c r="AD67" s="48">
        <f t="shared" si="24"/>
        <v>-1.5740000000000052</v>
      </c>
      <c r="AE67" s="48">
        <f t="shared" si="24"/>
        <v>-15.236390624607328</v>
      </c>
      <c r="AF67" s="48">
        <f t="shared" si="24"/>
        <v>-3.8313645853926639</v>
      </c>
      <c r="AG67" s="69">
        <f t="shared" si="24"/>
        <v>-34.586755209999993</v>
      </c>
      <c r="AH67" s="48">
        <f t="shared" si="24"/>
        <v>-38.676000000000002</v>
      </c>
      <c r="AI67" s="48">
        <f t="shared" si="24"/>
        <v>15.050380592709974</v>
      </c>
      <c r="AJ67" s="48">
        <f t="shared" si="24"/>
        <v>28.305</v>
      </c>
      <c r="AK67" s="48">
        <f t="shared" si="24"/>
        <v>29.486000000000001</v>
      </c>
      <c r="AL67" s="69">
        <f t="shared" si="24"/>
        <v>34.16538059270998</v>
      </c>
      <c r="AM67" s="48">
        <f t="shared" si="24"/>
        <v>-4.1516310649426966</v>
      </c>
      <c r="AN67" s="48">
        <f t="shared" si="24"/>
        <v>24.054999999999993</v>
      </c>
      <c r="AO67" s="48">
        <f t="shared" si="24"/>
        <v>66.626999999999995</v>
      </c>
      <c r="AP67" s="48">
        <f>AP49+AP65</f>
        <v>6.2499999999999964</v>
      </c>
      <c r="AQ67" s="69">
        <f t="shared" si="24"/>
        <v>92.782999999999987</v>
      </c>
      <c r="AR67" s="48">
        <f t="shared" si="24"/>
        <v>-52.989131891374093</v>
      </c>
      <c r="AS67" s="48">
        <f t="shared" si="24"/>
        <v>32.90637461629035</v>
      </c>
      <c r="AT67" s="48">
        <f t="shared" si="24"/>
        <v>-66.046178828681164</v>
      </c>
      <c r="AU67" s="48">
        <v>11.142093261291876</v>
      </c>
      <c r="AV67" s="69">
        <v>-74.986999999999966</v>
      </c>
      <c r="AW67" s="81">
        <f>AW49+AW65</f>
        <v>-29.367999999999999</v>
      </c>
      <c r="AX67" s="81">
        <f t="shared" ref="AX67:BD67" si="25">AX49+AX65</f>
        <v>17.834000000000003</v>
      </c>
      <c r="AY67" s="81">
        <f t="shared" si="25"/>
        <v>56.21199054011629</v>
      </c>
      <c r="AZ67" s="81">
        <f t="shared" si="25"/>
        <v>-14.412209523116285</v>
      </c>
      <c r="BA67" s="80">
        <f t="shared" si="25"/>
        <v>30.047431630116293</v>
      </c>
      <c r="BB67" s="81">
        <f t="shared" si="25"/>
        <v>-1.7760000000000051</v>
      </c>
      <c r="BC67" s="81">
        <f t="shared" si="25"/>
        <v>-7.2250000000000014</v>
      </c>
      <c r="BD67" s="81">
        <f t="shared" si="25"/>
        <v>3.1760000000000019</v>
      </c>
      <c r="BE67" s="81">
        <v>-1.2840000000000025</v>
      </c>
      <c r="BF67" s="69">
        <v>-7.0900000000000034</v>
      </c>
      <c r="BG67" s="81">
        <v>-69.241</v>
      </c>
      <c r="BH67" s="81">
        <v>-25.218</v>
      </c>
      <c r="BJ67" s="155"/>
    </row>
    <row r="68" spans="1:62" s="17" customFormat="1" ht="16.5" thickBot="1" x14ac:dyDescent="0.45">
      <c r="A68" s="21"/>
      <c r="B68" s="21"/>
      <c r="C68" s="21"/>
      <c r="D68" s="51"/>
      <c r="E68" s="51"/>
      <c r="F68" s="6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F68" s="51"/>
      <c r="BJ68" s="155"/>
    </row>
    <row r="69" spans="1:62" ht="16.5" thickBot="1" x14ac:dyDescent="0.45">
      <c r="A69" s="1" t="s">
        <v>151</v>
      </c>
      <c r="B69" s="1" t="s">
        <v>152</v>
      </c>
      <c r="C69" s="2"/>
      <c r="D69" s="3" t="str">
        <f t="shared" ref="D69:AI69" si="26">D1</f>
        <v>1T15</v>
      </c>
      <c r="E69" s="3" t="str">
        <f t="shared" si="26"/>
        <v>2T15</v>
      </c>
      <c r="F69" s="3" t="str">
        <f t="shared" si="26"/>
        <v>3T15</v>
      </c>
      <c r="G69" s="3" t="str">
        <f t="shared" si="26"/>
        <v>4T15</v>
      </c>
      <c r="H69" s="4">
        <f t="shared" si="26"/>
        <v>2015</v>
      </c>
      <c r="I69" s="3" t="str">
        <f t="shared" si="26"/>
        <v>1T16</v>
      </c>
      <c r="J69" s="3" t="str">
        <f t="shared" si="26"/>
        <v>2T16</v>
      </c>
      <c r="K69" s="3" t="str">
        <f t="shared" si="26"/>
        <v>3T16</v>
      </c>
      <c r="L69" s="3" t="str">
        <f t="shared" si="26"/>
        <v>4T16</v>
      </c>
      <c r="M69" s="4">
        <f t="shared" si="26"/>
        <v>2016</v>
      </c>
      <c r="N69" s="3" t="str">
        <f t="shared" si="26"/>
        <v>1T17</v>
      </c>
      <c r="O69" s="3" t="str">
        <f t="shared" si="26"/>
        <v>2T17</v>
      </c>
      <c r="P69" s="3" t="str">
        <f t="shared" si="26"/>
        <v>3T17</v>
      </c>
      <c r="Q69" s="3" t="str">
        <f t="shared" si="26"/>
        <v>4T17</v>
      </c>
      <c r="R69" s="4">
        <f t="shared" si="26"/>
        <v>2017</v>
      </c>
      <c r="S69" s="3" t="str">
        <f t="shared" si="26"/>
        <v>1T18</v>
      </c>
      <c r="T69" s="3" t="str">
        <f t="shared" si="26"/>
        <v>2T18</v>
      </c>
      <c r="U69" s="3" t="str">
        <f t="shared" si="26"/>
        <v>3T18</v>
      </c>
      <c r="V69" s="3" t="str">
        <f t="shared" si="26"/>
        <v>4T18</v>
      </c>
      <c r="W69" s="4">
        <f t="shared" si="26"/>
        <v>2018</v>
      </c>
      <c r="X69" s="3" t="str">
        <f t="shared" si="26"/>
        <v>1T19</v>
      </c>
      <c r="Y69" s="3" t="str">
        <f t="shared" si="26"/>
        <v>2T19</v>
      </c>
      <c r="Z69" s="3" t="str">
        <f t="shared" si="26"/>
        <v>3T19</v>
      </c>
      <c r="AA69" s="3" t="str">
        <f t="shared" si="26"/>
        <v>4T19</v>
      </c>
      <c r="AB69" s="4">
        <f t="shared" si="26"/>
        <v>2019</v>
      </c>
      <c r="AC69" s="3" t="str">
        <f t="shared" si="26"/>
        <v>1T20</v>
      </c>
      <c r="AD69" s="3" t="str">
        <f t="shared" si="26"/>
        <v>2T20</v>
      </c>
      <c r="AE69" s="3" t="str">
        <f t="shared" si="26"/>
        <v>3T20</v>
      </c>
      <c r="AF69" s="3" t="str">
        <f t="shared" si="26"/>
        <v>4T20</v>
      </c>
      <c r="AG69" s="4">
        <f t="shared" si="26"/>
        <v>2020</v>
      </c>
      <c r="AH69" s="3" t="str">
        <f t="shared" si="26"/>
        <v>1T21</v>
      </c>
      <c r="AI69" s="3" t="str">
        <f t="shared" si="26"/>
        <v>2T21</v>
      </c>
      <c r="AJ69" s="3" t="str">
        <f t="shared" ref="AJ69:BB69" si="27">AJ1</f>
        <v>3T21</v>
      </c>
      <c r="AK69" s="3" t="str">
        <f t="shared" si="27"/>
        <v>4T21</v>
      </c>
      <c r="AL69" s="4">
        <f t="shared" si="27"/>
        <v>2021</v>
      </c>
      <c r="AM69" s="3" t="str">
        <f t="shared" si="27"/>
        <v>1T22</v>
      </c>
      <c r="AN69" s="3" t="str">
        <f t="shared" si="27"/>
        <v>2T22</v>
      </c>
      <c r="AO69" s="3" t="str">
        <f t="shared" si="27"/>
        <v>3T22</v>
      </c>
      <c r="AP69" s="3" t="str">
        <f t="shared" si="27"/>
        <v>4T22</v>
      </c>
      <c r="AQ69" s="4">
        <f t="shared" si="27"/>
        <v>2022</v>
      </c>
      <c r="AR69" s="3" t="str">
        <f t="shared" si="27"/>
        <v>1T23</v>
      </c>
      <c r="AS69" s="3" t="str">
        <f t="shared" si="27"/>
        <v>2T23</v>
      </c>
      <c r="AT69" s="3" t="str">
        <f t="shared" si="27"/>
        <v>3T23</v>
      </c>
      <c r="AU69" s="3" t="s">
        <v>37</v>
      </c>
      <c r="AV69" s="4">
        <v>2023</v>
      </c>
      <c r="AW69" s="3" t="str">
        <f t="shared" si="27"/>
        <v>1T24</v>
      </c>
      <c r="AX69" s="3" t="str">
        <f t="shared" si="27"/>
        <v>2T24</v>
      </c>
      <c r="AY69" s="3" t="str">
        <f t="shared" si="27"/>
        <v>3T24</v>
      </c>
      <c r="AZ69" s="3" t="str">
        <f t="shared" si="27"/>
        <v>4T24</v>
      </c>
      <c r="BA69" s="4">
        <f t="shared" si="27"/>
        <v>2024</v>
      </c>
      <c r="BB69" s="3" t="str">
        <f t="shared" si="27"/>
        <v>1T25</v>
      </c>
      <c r="BC69" s="3" t="s">
        <v>383</v>
      </c>
      <c r="BD69" s="3" t="s">
        <v>384</v>
      </c>
      <c r="BE69" s="3" t="s">
        <v>385</v>
      </c>
      <c r="BF69" s="4">
        <v>2025</v>
      </c>
      <c r="BG69" s="3" t="s">
        <v>386</v>
      </c>
      <c r="BH69" s="3" t="s">
        <v>387</v>
      </c>
      <c r="BJ69" s="155"/>
    </row>
    <row r="70" spans="1:62" s="17" customFormat="1" x14ac:dyDescent="0.4">
      <c r="A70" s="9" t="s">
        <v>153</v>
      </c>
      <c r="B70" s="9" t="s">
        <v>154</v>
      </c>
      <c r="C70" s="9"/>
      <c r="D70" s="6"/>
      <c r="E70" s="6"/>
      <c r="F70" s="6"/>
      <c r="G70" s="6"/>
      <c r="H70" s="66">
        <f>H67</f>
        <v>64.405553040000029</v>
      </c>
      <c r="I70" s="6">
        <f t="shared" ref="I70:BB70" si="28">I67</f>
        <v>2.9178950229999998</v>
      </c>
      <c r="J70" s="6">
        <f t="shared" si="28"/>
        <v>3.2508933970000022</v>
      </c>
      <c r="K70" s="6">
        <f t="shared" si="28"/>
        <v>15.958239322999997</v>
      </c>
      <c r="L70" s="6">
        <f t="shared" si="28"/>
        <v>26.971947493100657</v>
      </c>
      <c r="M70" s="66">
        <f t="shared" si="28"/>
        <v>49.162240406750001</v>
      </c>
      <c r="N70" s="6">
        <f t="shared" si="28"/>
        <v>5.9459999999999997</v>
      </c>
      <c r="O70" s="6">
        <f t="shared" si="28"/>
        <v>28.467999999999996</v>
      </c>
      <c r="P70" s="6">
        <f t="shared" si="28"/>
        <v>39.370000000000012</v>
      </c>
      <c r="Q70" s="6">
        <f t="shared" si="28"/>
        <v>45.12700000000001</v>
      </c>
      <c r="R70" s="75">
        <f t="shared" si="28"/>
        <v>118.91000000000003</v>
      </c>
      <c r="S70" s="6">
        <f t="shared" si="28"/>
        <v>19.421999999999997</v>
      </c>
      <c r="T70" s="6">
        <f t="shared" si="28"/>
        <v>32.896999999999991</v>
      </c>
      <c r="U70" s="6">
        <f t="shared" si="28"/>
        <v>45.584534000000019</v>
      </c>
      <c r="V70" s="6">
        <f t="shared" si="28"/>
        <v>16.144687875209023</v>
      </c>
      <c r="W70" s="75">
        <f t="shared" si="28"/>
        <v>114.04951587520905</v>
      </c>
      <c r="X70" s="6">
        <f t="shared" si="28"/>
        <v>16.925000000000008</v>
      </c>
      <c r="Y70" s="6">
        <f t="shared" si="28"/>
        <v>-34.679000000000002</v>
      </c>
      <c r="Z70" s="6">
        <f t="shared" si="28"/>
        <v>-15.639670024874164</v>
      </c>
      <c r="AA70" s="6">
        <f t="shared" si="28"/>
        <v>0.14660446189925125</v>
      </c>
      <c r="AB70" s="75">
        <f t="shared" si="28"/>
        <v>-33.244</v>
      </c>
      <c r="AC70" s="6">
        <f t="shared" si="28"/>
        <v>-13.941000000000006</v>
      </c>
      <c r="AD70" s="6">
        <f t="shared" si="28"/>
        <v>-1.5740000000000052</v>
      </c>
      <c r="AE70" s="6">
        <f t="shared" si="28"/>
        <v>-15.236390624607328</v>
      </c>
      <c r="AF70" s="6">
        <f t="shared" si="28"/>
        <v>-3.8313645853926639</v>
      </c>
      <c r="AG70" s="75">
        <f t="shared" si="28"/>
        <v>-34.586755209999993</v>
      </c>
      <c r="AH70" s="6">
        <f t="shared" si="28"/>
        <v>-38.676000000000002</v>
      </c>
      <c r="AI70" s="6">
        <f t="shared" si="28"/>
        <v>15.050380592709974</v>
      </c>
      <c r="AJ70" s="6">
        <f t="shared" si="28"/>
        <v>28.305</v>
      </c>
      <c r="AK70" s="6">
        <f t="shared" si="28"/>
        <v>29.486000000000001</v>
      </c>
      <c r="AL70" s="76">
        <f t="shared" si="28"/>
        <v>34.16538059270998</v>
      </c>
      <c r="AM70" s="6">
        <f t="shared" si="28"/>
        <v>-4.1516310649426966</v>
      </c>
      <c r="AN70" s="6">
        <f t="shared" si="28"/>
        <v>24.054999999999993</v>
      </c>
      <c r="AO70" s="6">
        <f t="shared" si="28"/>
        <v>66.626999999999995</v>
      </c>
      <c r="AP70" s="6">
        <f t="shared" si="28"/>
        <v>6.2499999999999964</v>
      </c>
      <c r="AQ70" s="76">
        <f t="shared" si="28"/>
        <v>92.782999999999987</v>
      </c>
      <c r="AR70" s="6">
        <f t="shared" si="28"/>
        <v>-52.989131891374093</v>
      </c>
      <c r="AS70" s="6">
        <f t="shared" si="28"/>
        <v>32.90637461629035</v>
      </c>
      <c r="AT70" s="6">
        <f t="shared" si="28"/>
        <v>-66.046178828681164</v>
      </c>
      <c r="AU70" s="6">
        <v>11.142093261291876</v>
      </c>
      <c r="AV70" s="75">
        <v>-74.986999999999966</v>
      </c>
      <c r="AW70" s="6">
        <f t="shared" si="28"/>
        <v>-29.367999999999999</v>
      </c>
      <c r="AX70" s="6">
        <f t="shared" si="28"/>
        <v>17.834000000000003</v>
      </c>
      <c r="AY70" s="6">
        <f t="shared" si="28"/>
        <v>56.21199054011629</v>
      </c>
      <c r="AZ70" s="6">
        <f t="shared" si="28"/>
        <v>-14.412209523116285</v>
      </c>
      <c r="BA70" s="75">
        <f t="shared" si="28"/>
        <v>30.047431630116293</v>
      </c>
      <c r="BB70" s="6">
        <f t="shared" si="28"/>
        <v>-1.7760000000000051</v>
      </c>
      <c r="BC70" s="6">
        <v>-7.2250000000000014</v>
      </c>
      <c r="BD70" s="6">
        <v>3.1760000000000019</v>
      </c>
      <c r="BE70" s="6">
        <v>-1.2840000000000025</v>
      </c>
      <c r="BF70" s="161">
        <v>-7.0900000000000034</v>
      </c>
      <c r="BG70" s="6">
        <v>-69.241</v>
      </c>
      <c r="BH70" s="6">
        <v>-25.218</v>
      </c>
      <c r="BJ70" s="155"/>
    </row>
    <row r="71" spans="1:62" s="82" customFormat="1" ht="18" customHeight="1" x14ac:dyDescent="0.4">
      <c r="A71" s="5" t="s">
        <v>155</v>
      </c>
      <c r="B71" s="5" t="s">
        <v>156</v>
      </c>
      <c r="C71" s="5"/>
      <c r="D71" s="6"/>
      <c r="E71" s="6"/>
      <c r="F71" s="6"/>
      <c r="G71" s="6"/>
      <c r="H71" s="66">
        <f>'WEB CONSOLIDADO'!H56</f>
        <v>-35.840000000000003</v>
      </c>
      <c r="I71" s="6">
        <f>'WEB CONSOLIDADO'!I56</f>
        <v>0</v>
      </c>
      <c r="J71" s="6">
        <f>'WEB CONSOLIDADO'!J56</f>
        <v>-24.885999999999999</v>
      </c>
      <c r="K71" s="6">
        <f>'WEB CONSOLIDADO'!K56</f>
        <v>-1.0000000000012221E-3</v>
      </c>
      <c r="L71" s="6">
        <f>'WEB CONSOLIDADO'!L56</f>
        <v>-7.8239999999999981</v>
      </c>
      <c r="M71" s="66">
        <f>'WEB CONSOLIDADO'!M56</f>
        <v>-32.710999999999999</v>
      </c>
      <c r="N71" s="6">
        <f>'WEB CONSOLIDADO'!N56</f>
        <v>0</v>
      </c>
      <c r="O71" s="6">
        <f>'WEB CONSOLIDADO'!O56</f>
        <v>-11.577999999999999</v>
      </c>
      <c r="P71" s="6">
        <f>'WEB CONSOLIDADO'!P56</f>
        <v>-12.089000000000002</v>
      </c>
      <c r="Q71" s="6">
        <f>'WEB CONSOLIDADO'!Q56</f>
        <v>-16.170000000000002</v>
      </c>
      <c r="R71" s="75">
        <f>'WEB CONSOLIDADO'!R56</f>
        <v>-39.837000000000003</v>
      </c>
      <c r="S71" s="6">
        <f>'WEB CONSOLIDADO'!S56</f>
        <v>0</v>
      </c>
      <c r="T71" s="6">
        <f>'WEB CONSOLIDADO'!T56</f>
        <v>-16.158000000000001</v>
      </c>
      <c r="U71" s="6">
        <f>'WEB CONSOLIDADO'!U56</f>
        <v>-22.794999999999998</v>
      </c>
      <c r="V71" s="6">
        <f>'WEB CONSOLIDADO'!V56</f>
        <v>-28.156999999999996</v>
      </c>
      <c r="W71" s="75">
        <f>'WEB CONSOLIDADO'!W56</f>
        <v>-67.11</v>
      </c>
      <c r="X71" s="6">
        <f>'WEB CONSOLIDADO'!X56</f>
        <v>0</v>
      </c>
      <c r="Y71" s="6">
        <f>'WEB CONSOLIDADO'!Y56</f>
        <v>-13.213980189999999</v>
      </c>
      <c r="Z71" s="6">
        <f>'WEB CONSOLIDADO'!Z56</f>
        <v>-11.037321930000001</v>
      </c>
      <c r="AA71" s="6">
        <f>'WEB CONSOLIDADO'!AA56</f>
        <v>-1.3540000000000001</v>
      </c>
      <c r="AB71" s="75">
        <f>'WEB CONSOLIDADO'!AB56</f>
        <v>-25.59030212</v>
      </c>
      <c r="AC71" s="6">
        <f>'WEB CONSOLIDADO'!AC56</f>
        <v>0</v>
      </c>
      <c r="AD71" s="6">
        <f>'WEB CONSOLIDADO'!AD56</f>
        <v>0</v>
      </c>
      <c r="AE71" s="6">
        <f>'WEB CONSOLIDADO'!AE56</f>
        <v>0</v>
      </c>
      <c r="AF71" s="6">
        <f>'WEB CONSOLIDADO'!AF56</f>
        <v>0</v>
      </c>
      <c r="AG71" s="75">
        <f>'WEB CONSOLIDADO'!AG56</f>
        <v>0</v>
      </c>
      <c r="AH71" s="6">
        <f>'WEB CONSOLIDADO'!AH56</f>
        <v>0</v>
      </c>
      <c r="AI71" s="6">
        <f>'WEB CONSOLIDADO'!AI56</f>
        <v>0</v>
      </c>
      <c r="AJ71" s="6">
        <f>'WEB CONSOLIDADO'!AJ56</f>
        <v>0</v>
      </c>
      <c r="AK71" s="6">
        <f>'WEB CONSOLIDADO'!AK56</f>
        <v>0</v>
      </c>
      <c r="AL71" s="66">
        <f>'WEB CONSOLIDADO'!AL56</f>
        <v>0</v>
      </c>
      <c r="AM71" s="6">
        <f>'WEB CONSOLIDADO'!AM56</f>
        <v>0</v>
      </c>
      <c r="AN71" s="6">
        <f>'WEB CONSOLIDADO'!AN56</f>
        <v>-13.118997049999896</v>
      </c>
      <c r="AO71" s="6">
        <f>'WEB CONSOLIDADO'!AO56</f>
        <v>-31.600002950000096</v>
      </c>
      <c r="AP71" s="6">
        <f>'WEB CONSOLIDADO'!AP56</f>
        <v>-21.867999999999995</v>
      </c>
      <c r="AQ71" s="66">
        <f>'WEB CONSOLIDADO'!AQ56</f>
        <v>-66.587000000000003</v>
      </c>
      <c r="AR71" s="6">
        <f>'WEB CONSOLIDADO'!AR56</f>
        <v>-62.868000000000002</v>
      </c>
      <c r="AS71" s="6">
        <f>'WEB CONSOLIDADO'!AS56</f>
        <v>-77.742627028329025</v>
      </c>
      <c r="AT71" s="6">
        <f>'WEB CONSOLIDADO'!AT56</f>
        <v>1.6270283290200638E-3</v>
      </c>
      <c r="AU71" s="6">
        <v>-8.8817841970012523E-15</v>
      </c>
      <c r="AV71" s="75">
        <v>-140.60900000000001</v>
      </c>
      <c r="AW71" s="6">
        <f>'WEB CONSOLIDADO'!AW56</f>
        <v>0</v>
      </c>
      <c r="AX71" s="6">
        <f>'WEB CONSOLIDADO'!AX56</f>
        <v>0</v>
      </c>
      <c r="AY71" s="6">
        <f>'WEB CONSOLIDADO'!AY56</f>
        <v>-26</v>
      </c>
      <c r="AZ71" s="6">
        <f>'WEB CONSOLIDADO'!AZ56</f>
        <v>-7.972999999999999</v>
      </c>
      <c r="BA71" s="75">
        <f>'WEB CONSOLIDADO'!BA56</f>
        <v>-33.972999999999999</v>
      </c>
      <c r="BB71" s="6">
        <f>'WEB CONSOLIDADO'!BB56</f>
        <v>0</v>
      </c>
      <c r="BC71" s="6">
        <v>0</v>
      </c>
      <c r="BD71" s="6">
        <v>0</v>
      </c>
      <c r="BE71" s="6">
        <v>0</v>
      </c>
      <c r="BF71" s="161">
        <v>0</v>
      </c>
      <c r="BG71" s="6">
        <v>0</v>
      </c>
      <c r="BH71" s="6">
        <v>0</v>
      </c>
      <c r="BJ71" s="155"/>
    </row>
    <row r="72" spans="1:62" s="82" customFormat="1" ht="18" customHeight="1" x14ac:dyDescent="0.4">
      <c r="A72" s="5" t="s">
        <v>157</v>
      </c>
      <c r="B72" s="5" t="s">
        <v>158</v>
      </c>
      <c r="C72" s="5"/>
      <c r="D72" s="6"/>
      <c r="E72" s="6"/>
      <c r="F72" s="6"/>
      <c r="G72" s="6"/>
      <c r="H72" s="66">
        <f>'WEB CONSOLIDADO'!H54</f>
        <v>3.93</v>
      </c>
      <c r="I72" s="6">
        <f>'WEB CONSOLIDADO'!I54</f>
        <v>-0.72699999999999998</v>
      </c>
      <c r="J72" s="6">
        <f>'WEB CONSOLIDADO'!J54</f>
        <v>-0.35799999999999998</v>
      </c>
      <c r="K72" s="6">
        <f>'WEB CONSOLIDADO'!K54</f>
        <v>-8.0299999999999994</v>
      </c>
      <c r="L72" s="6">
        <f>'WEB CONSOLIDADO'!L54</f>
        <v>6.7999999999998728E-2</v>
      </c>
      <c r="M72" s="66">
        <f>'WEB CONSOLIDADO'!M54</f>
        <v>-9.0470000000000006</v>
      </c>
      <c r="N72" s="6">
        <f>'WEB CONSOLIDADO'!N54</f>
        <v>6.7000000000000004E-2</v>
      </c>
      <c r="O72" s="6">
        <f>'WEB CONSOLIDADO'!O54</f>
        <v>-0.19</v>
      </c>
      <c r="P72" s="6">
        <f>'WEB CONSOLIDADO'!P54</f>
        <v>0.63700000000000001</v>
      </c>
      <c r="Q72" s="6">
        <f>'WEB CONSOLIDADO'!Q54</f>
        <v>-0.746</v>
      </c>
      <c r="R72" s="75">
        <f>'WEB CONSOLIDADO'!R54</f>
        <v>-0.23200000000000001</v>
      </c>
      <c r="S72" s="6">
        <f>'WEB CONSOLIDADO'!S54</f>
        <v>14.776999999999999</v>
      </c>
      <c r="T72" s="6">
        <f>'WEB CONSOLIDADO'!T54</f>
        <v>-8.6999999999999744E-2</v>
      </c>
      <c r="U72" s="6">
        <f>'WEB CONSOLIDADO'!U54</f>
        <v>-0.11500000000000021</v>
      </c>
      <c r="V72" s="6">
        <f>'WEB CONSOLIDADO'!V54</f>
        <v>-0.51999999999999957</v>
      </c>
      <c r="W72" s="75">
        <f>'WEB CONSOLIDADO'!W54</f>
        <v>14.055</v>
      </c>
      <c r="X72" s="6">
        <f>'WEB CONSOLIDADO'!X54</f>
        <v>-0.151</v>
      </c>
      <c r="Y72" s="6">
        <f>'WEB CONSOLIDADO'!Y54</f>
        <v>-10.428000000000001</v>
      </c>
      <c r="Z72" s="6">
        <f>'WEB CONSOLIDADO'!Z54</f>
        <v>-2.0135724999999933</v>
      </c>
      <c r="AA72" s="6">
        <f>'WEB CONSOLIDADO'!AA54</f>
        <v>0.56848662999999178</v>
      </c>
      <c r="AB72" s="75">
        <f>'WEB CONSOLIDADO'!AB54</f>
        <v>-12.024085870000002</v>
      </c>
      <c r="AC72" s="6">
        <f>'WEB CONSOLIDADO'!AC54</f>
        <v>-1.1669479599999995</v>
      </c>
      <c r="AD72" s="6">
        <f>'WEB CONSOLIDADO'!AD54</f>
        <v>0.6575703900000025</v>
      </c>
      <c r="AE72" s="6">
        <f>'WEB CONSOLIDADO'!AE54</f>
        <v>-1.1982639500000076</v>
      </c>
      <c r="AF72" s="6">
        <f>'WEB CONSOLIDADO'!AF54</f>
        <v>221.46664152</v>
      </c>
      <c r="AG72" s="75">
        <f>'WEB CONSOLIDADO'!AG54</f>
        <v>219.75899999999999</v>
      </c>
      <c r="AH72" s="6">
        <f>'WEB CONSOLIDADO'!AH54</f>
        <v>1.5545212500000016</v>
      </c>
      <c r="AI72" s="6">
        <f>'WEB CONSOLIDADO'!AI54</f>
        <v>-2.8175212500000013</v>
      </c>
      <c r="AJ72" s="6">
        <f>'WEB CONSOLIDADO'!AJ54</f>
        <v>-1.0920000000000005</v>
      </c>
      <c r="AK72" s="6">
        <f>'WEB CONSOLIDADO'!AK54</f>
        <v>0.17600000000000016</v>
      </c>
      <c r="AL72" s="66">
        <f>'WEB CONSOLIDADO'!AL54</f>
        <v>-2.1789999999999998</v>
      </c>
      <c r="AM72" s="6">
        <f>'WEB CONSOLIDADO'!AM54</f>
        <v>1.7609999999999999</v>
      </c>
      <c r="AN72" s="6">
        <f>'WEB CONSOLIDADO'!AN54</f>
        <v>-0.373</v>
      </c>
      <c r="AO72" s="6">
        <f>'WEB CONSOLIDADO'!AO54</f>
        <v>-0.30599999999999983</v>
      </c>
      <c r="AP72" s="6">
        <f>'WEB CONSOLIDADO'!AP54</f>
        <v>-0.95000000000000018</v>
      </c>
      <c r="AQ72" s="66">
        <f>'WEB CONSOLIDADO'!AQ54</f>
        <v>0.13200000000000001</v>
      </c>
      <c r="AR72" s="6">
        <f>'WEB CONSOLIDADO'!AR54</f>
        <v>6.5629999999999997</v>
      </c>
      <c r="AS72" s="6">
        <f>'WEB CONSOLIDADO'!AS54</f>
        <v>-0.62099999999999955</v>
      </c>
      <c r="AT72" s="6">
        <f>'WEB CONSOLIDADO'!AT54</f>
        <v>1.0779999999999994</v>
      </c>
      <c r="AU72" s="6">
        <v>-1.1919999999999993</v>
      </c>
      <c r="AV72" s="75">
        <v>5.8280000000000003</v>
      </c>
      <c r="AW72" s="6">
        <f>'WEB CONSOLIDADO'!AW54</f>
        <v>1.171</v>
      </c>
      <c r="AX72" s="6">
        <f>'WEB CONSOLIDADO'!AX54</f>
        <v>0.26800000000000002</v>
      </c>
      <c r="AY72" s="6">
        <f>'WEB CONSOLIDADO'!AY54</f>
        <v>-0.95200000000000007</v>
      </c>
      <c r="AZ72" s="6">
        <f>'WEB CONSOLIDADO'!AZ54</f>
        <v>0.20799999999999996</v>
      </c>
      <c r="BA72" s="75">
        <f>'WEB CONSOLIDADO'!BA54</f>
        <v>0.69499999999999995</v>
      </c>
      <c r="BB72" s="6">
        <f>'WEB CONSOLIDADO'!BB54</f>
        <v>3.5142030000000886E-2</v>
      </c>
      <c r="BC72" s="6">
        <v>-0.69645696999999929</v>
      </c>
      <c r="BD72" s="6">
        <v>-0.20768506000000159</v>
      </c>
      <c r="BE72" s="6">
        <v>-0.31400000000000006</v>
      </c>
      <c r="BF72" s="161">
        <v>-1.1830000000000001</v>
      </c>
      <c r="BG72" s="6">
        <v>0.77600000000000002</v>
      </c>
      <c r="BH72" s="6">
        <v>0.59299999999999997</v>
      </c>
      <c r="BJ72" s="155"/>
    </row>
    <row r="73" spans="1:62" s="45" customFormat="1" x14ac:dyDescent="0.4">
      <c r="A73" s="82" t="s">
        <v>159</v>
      </c>
      <c r="B73" s="5" t="s">
        <v>160</v>
      </c>
      <c r="D73" s="83"/>
      <c r="E73" s="83"/>
      <c r="F73" s="83"/>
      <c r="G73" s="83"/>
      <c r="H73" s="84"/>
      <c r="I73" s="53">
        <f>I74-I70-I71-I72</f>
        <v>-15.295883055124992</v>
      </c>
      <c r="J73" s="53">
        <f t="shared" ref="J73:AT73" si="29">J74-J70-J71-J72</f>
        <v>4.7334028351250153</v>
      </c>
      <c r="K73" s="53">
        <f t="shared" si="29"/>
        <v>-7.5885684430000016</v>
      </c>
      <c r="L73" s="53">
        <f t="shared" si="29"/>
        <v>-2.9423947831006396</v>
      </c>
      <c r="M73" s="85">
        <f t="shared" si="29"/>
        <v>-21.156708616749963</v>
      </c>
      <c r="N73" s="53">
        <f t="shared" si="29"/>
        <v>-5.0783628200000468</v>
      </c>
      <c r="O73" s="53">
        <f t="shared" si="29"/>
        <v>13.489000000000024</v>
      </c>
      <c r="P73" s="53">
        <f t="shared" si="29"/>
        <v>-12.768000000000004</v>
      </c>
      <c r="Q73" s="53">
        <f t="shared" si="29"/>
        <v>0.49199999999996669</v>
      </c>
      <c r="R73" s="85">
        <f t="shared" si="29"/>
        <v>-3.8643628200000668</v>
      </c>
      <c r="S73" s="53">
        <f t="shared" si="29"/>
        <v>-12.426637539999957</v>
      </c>
      <c r="T73" s="53">
        <f t="shared" si="29"/>
        <v>-2.864362460000013</v>
      </c>
      <c r="U73" s="53">
        <f t="shared" si="29"/>
        <v>1.6784659999999381</v>
      </c>
      <c r="V73" s="53">
        <f t="shared" si="29"/>
        <v>-74.921687875209074</v>
      </c>
      <c r="W73" s="75">
        <f t="shared" si="29"/>
        <v>-88.535515875209114</v>
      </c>
      <c r="X73" s="86">
        <f t="shared" si="29"/>
        <v>-48.10499999999994</v>
      </c>
      <c r="Y73" s="53">
        <f t="shared" si="29"/>
        <v>4.0999801899999699</v>
      </c>
      <c r="Z73" s="53">
        <f t="shared" si="29"/>
        <v>-10.457435545125838</v>
      </c>
      <c r="AA73" s="53">
        <f t="shared" si="29"/>
        <v>-32.727091091899226</v>
      </c>
      <c r="AB73" s="75">
        <f t="shared" si="29"/>
        <v>-87.207612009999934</v>
      </c>
      <c r="AC73" s="53">
        <f t="shared" si="29"/>
        <v>-5.1540520399999945</v>
      </c>
      <c r="AD73" s="53">
        <f t="shared" si="29"/>
        <v>4.7814296100000684</v>
      </c>
      <c r="AE73" s="53">
        <f t="shared" si="29"/>
        <v>-11.876345425392699</v>
      </c>
      <c r="AF73" s="53">
        <f t="shared" si="29"/>
        <v>89.428723065392717</v>
      </c>
      <c r="AG73" s="75">
        <f t="shared" si="29"/>
        <v>77.183755210000044</v>
      </c>
      <c r="AH73" s="53">
        <f t="shared" si="29"/>
        <v>5.7384787499999623</v>
      </c>
      <c r="AI73" s="53">
        <f t="shared" si="29"/>
        <v>19.305140657289982</v>
      </c>
      <c r="AJ73" s="53">
        <f t="shared" si="29"/>
        <v>-2.2399999999999221</v>
      </c>
      <c r="AK73" s="53">
        <f t="shared" si="29"/>
        <v>8.0939999999999994</v>
      </c>
      <c r="AL73" s="54">
        <f t="shared" si="29"/>
        <v>30.897619407290012</v>
      </c>
      <c r="AM73" s="53">
        <f t="shared" si="29"/>
        <v>-2.8083689350573406</v>
      </c>
      <c r="AN73" s="53">
        <f t="shared" si="29"/>
        <v>-2.3660029500000936</v>
      </c>
      <c r="AO73" s="53">
        <f t="shared" si="29"/>
        <v>17.378002950000077</v>
      </c>
      <c r="AP73" s="6">
        <f t="shared" si="29"/>
        <v>-21.96499999999995</v>
      </c>
      <c r="AQ73" s="54">
        <f t="shared" si="29"/>
        <v>-9.7639999999999905</v>
      </c>
      <c r="AR73" s="53">
        <f t="shared" si="29"/>
        <v>0.89913189137408533</v>
      </c>
      <c r="AS73" s="53">
        <f t="shared" si="29"/>
        <v>-5.9797475879612945</v>
      </c>
      <c r="AT73" s="53">
        <f t="shared" si="29"/>
        <v>-1.733448199647972</v>
      </c>
      <c r="AU73" s="53">
        <v>-5.644093261291828</v>
      </c>
      <c r="AV73" s="85">
        <v>-12.45800000000008</v>
      </c>
      <c r="AW73" s="53">
        <f>AW74-AW70-AW71-AW72</f>
        <v>0.37500000000008105</v>
      </c>
      <c r="AX73" s="53">
        <f>AX74-AX70-AX71-AX72</f>
        <v>-25.550000000000068</v>
      </c>
      <c r="AY73" s="53">
        <f>AY74-AY70-AY71-AY72</f>
        <v>-8.2749905401163044</v>
      </c>
      <c r="AZ73" s="53">
        <f t="shared" ref="AZ73:BB73" si="30">AZ74-AZ70-AZ71-AZ72</f>
        <v>-19.967790476883696</v>
      </c>
      <c r="BA73" s="85">
        <f t="shared" si="30"/>
        <v>-53.199431630116273</v>
      </c>
      <c r="BB73" s="53">
        <f t="shared" si="30"/>
        <v>-2.9661420299999892</v>
      </c>
      <c r="BC73" s="53">
        <v>-0.82954302999994722</v>
      </c>
      <c r="BD73" s="53">
        <v>-2.5693149400000563</v>
      </c>
      <c r="BE73" s="53">
        <v>-9.1019999999999861</v>
      </c>
      <c r="BF73" s="178">
        <v>-15.485999999999983</v>
      </c>
      <c r="BG73" s="53">
        <v>-16.069320599999944</v>
      </c>
      <c r="BH73" s="53">
        <v>-88.487183619999939</v>
      </c>
      <c r="BJ73" s="155"/>
    </row>
    <row r="74" spans="1:62" s="45" customFormat="1" x14ac:dyDescent="0.4">
      <c r="A74" s="47" t="s">
        <v>161</v>
      </c>
      <c r="B74" s="47" t="s">
        <v>162</v>
      </c>
      <c r="C74" s="87"/>
      <c r="D74" s="88"/>
      <c r="E74" s="88"/>
      <c r="F74" s="88"/>
      <c r="G74" s="88"/>
      <c r="H74" s="89"/>
      <c r="I74" s="48">
        <f>-I85+H85</f>
        <v>-13.104988032124993</v>
      </c>
      <c r="J74" s="48">
        <f t="shared" ref="J74:AT74" si="31">-J85+I85</f>
        <v>-17.259703767874981</v>
      </c>
      <c r="K74" s="48">
        <f t="shared" si="31"/>
        <v>0.33867087999999512</v>
      </c>
      <c r="L74" s="48">
        <f t="shared" si="31"/>
        <v>16.273552710000018</v>
      </c>
      <c r="M74" s="69">
        <f>-M85+H85</f>
        <v>-13.752468209999961</v>
      </c>
      <c r="N74" s="48">
        <f t="shared" si="31"/>
        <v>0.9346371799999531</v>
      </c>
      <c r="O74" s="48">
        <f t="shared" si="31"/>
        <v>30.189000000000021</v>
      </c>
      <c r="P74" s="48">
        <f t="shared" si="31"/>
        <v>15.150000000000006</v>
      </c>
      <c r="Q74" s="48">
        <f t="shared" si="31"/>
        <v>28.702999999999975</v>
      </c>
      <c r="R74" s="69">
        <f>-R85+M85</f>
        <v>74.976637179999955</v>
      </c>
      <c r="S74" s="48">
        <f t="shared" si="31"/>
        <v>21.772362460000039</v>
      </c>
      <c r="T74" s="48">
        <f t="shared" si="31"/>
        <v>13.787637539999977</v>
      </c>
      <c r="U74" s="48">
        <f t="shared" si="31"/>
        <v>24.352999999999959</v>
      </c>
      <c r="V74" s="48">
        <f t="shared" si="31"/>
        <v>-87.454000000000036</v>
      </c>
      <c r="W74" s="69">
        <f>-W85+R85</f>
        <v>-27.541000000000054</v>
      </c>
      <c r="X74" s="48">
        <f t="shared" si="31"/>
        <v>-31.330999999999932</v>
      </c>
      <c r="Y74" s="48">
        <f t="shared" si="31"/>
        <v>-54.221000000000032</v>
      </c>
      <c r="Z74" s="48">
        <f t="shared" si="31"/>
        <v>-39.147999999999996</v>
      </c>
      <c r="AA74" s="48">
        <f t="shared" si="31"/>
        <v>-33.365999999999985</v>
      </c>
      <c r="AB74" s="69">
        <f>-AB85+W85</f>
        <v>-158.06599999999995</v>
      </c>
      <c r="AC74" s="48">
        <f t="shared" si="31"/>
        <v>-20.262</v>
      </c>
      <c r="AD74" s="48">
        <f t="shared" si="31"/>
        <v>3.8650000000000659</v>
      </c>
      <c r="AE74" s="48">
        <f t="shared" si="31"/>
        <v>-28.311000000000035</v>
      </c>
      <c r="AF74" s="48">
        <f t="shared" si="31"/>
        <v>307.06400000000002</v>
      </c>
      <c r="AG74" s="69">
        <f>-AG85+AB85</f>
        <v>262.35600000000005</v>
      </c>
      <c r="AH74" s="48">
        <f t="shared" si="31"/>
        <v>-31.383000000000038</v>
      </c>
      <c r="AI74" s="48">
        <f t="shared" si="31"/>
        <v>31.537999999999954</v>
      </c>
      <c r="AJ74" s="48">
        <f t="shared" si="31"/>
        <v>24.973000000000077</v>
      </c>
      <c r="AK74" s="48">
        <f t="shared" si="31"/>
        <v>37.756</v>
      </c>
      <c r="AL74" s="69">
        <f>-AL85+AG85</f>
        <v>62.883999999999993</v>
      </c>
      <c r="AM74" s="48">
        <f t="shared" si="31"/>
        <v>-5.1990000000000371</v>
      </c>
      <c r="AN74" s="48">
        <f t="shared" si="31"/>
        <v>8.1970000000000027</v>
      </c>
      <c r="AO74" s="48">
        <f t="shared" si="31"/>
        <v>52.098999999999975</v>
      </c>
      <c r="AP74" s="48">
        <f t="shared" si="31"/>
        <v>-38.532999999999952</v>
      </c>
      <c r="AQ74" s="69">
        <f>-AQ85+AL85</f>
        <v>16.563999999999993</v>
      </c>
      <c r="AR74" s="48">
        <f t="shared" si="31"/>
        <v>-108.39500000000001</v>
      </c>
      <c r="AS74" s="48">
        <f t="shared" si="31"/>
        <v>-51.436999999999969</v>
      </c>
      <c r="AT74" s="48">
        <f t="shared" si="31"/>
        <v>-66.700000000000117</v>
      </c>
      <c r="AU74" s="48">
        <v>4.30600000000004</v>
      </c>
      <c r="AV74" s="80">
        <v>-222.22600000000006</v>
      </c>
      <c r="AW74" s="48">
        <f>-AW85+AV85</f>
        <v>-27.821999999999917</v>
      </c>
      <c r="AX74" s="48">
        <f>-AX85+AW85</f>
        <v>-7.4480000000000643</v>
      </c>
      <c r="AY74" s="48">
        <f>-AY85+AX85</f>
        <v>20.984999999999985</v>
      </c>
      <c r="AZ74" s="48">
        <f>-AZ85+AY85</f>
        <v>-42.144999999999982</v>
      </c>
      <c r="BA74" s="80">
        <f>-BA85+AV85</f>
        <v>-56.429999999999978</v>
      </c>
      <c r="BB74" s="48">
        <f>-BB85+BA85</f>
        <v>-4.7069999999999936</v>
      </c>
      <c r="BC74" s="48">
        <f>-BC85+BB85</f>
        <v>-8.7509999999999479</v>
      </c>
      <c r="BD74" s="48">
        <f>-BD85+BC85</f>
        <v>0.39899999999994407</v>
      </c>
      <c r="BE74" s="48">
        <v>-10.699999999999989</v>
      </c>
      <c r="BF74" s="198">
        <v>-23.758999999999986</v>
      </c>
      <c r="BG74" s="48">
        <v>-84.534320599999944</v>
      </c>
      <c r="BH74" s="48">
        <v>-113.11218361999994</v>
      </c>
      <c r="BJ74" s="155"/>
    </row>
    <row r="75" spans="1:62" s="45" customFormat="1" ht="16.5" thickBot="1" x14ac:dyDescent="0.45">
      <c r="A75" s="90"/>
      <c r="B75" s="90"/>
      <c r="C75" s="90"/>
      <c r="D75" s="44"/>
      <c r="E75" s="44"/>
      <c r="F75" s="44"/>
      <c r="G75" s="44"/>
      <c r="H75" s="91"/>
      <c r="I75" s="44"/>
      <c r="J75" s="44"/>
      <c r="K75" s="44"/>
      <c r="L75" s="44"/>
      <c r="M75" s="91"/>
      <c r="N75" s="44"/>
      <c r="O75" s="44"/>
      <c r="P75" s="44"/>
      <c r="Q75" s="44"/>
      <c r="R75" s="91"/>
      <c r="S75" s="44"/>
      <c r="T75" s="44"/>
      <c r="U75" s="44"/>
      <c r="V75" s="44"/>
      <c r="W75" s="91"/>
      <c r="X75" s="44"/>
      <c r="Y75" s="44"/>
      <c r="Z75" s="44"/>
      <c r="AA75" s="44"/>
      <c r="AB75" s="91"/>
      <c r="AC75" s="44"/>
      <c r="AD75" s="44"/>
      <c r="AE75" s="44"/>
      <c r="AF75" s="44"/>
      <c r="AG75" s="91"/>
      <c r="AH75" s="44"/>
      <c r="AI75" s="44"/>
      <c r="AJ75" s="44"/>
      <c r="AK75" s="44"/>
      <c r="AL75" s="91"/>
      <c r="AM75" s="44"/>
      <c r="AN75" s="44"/>
      <c r="AO75" s="44"/>
      <c r="AP75" s="44"/>
      <c r="AQ75" s="91"/>
      <c r="AR75" s="44"/>
      <c r="AS75" s="44"/>
      <c r="AT75" s="44"/>
      <c r="AU75" s="44"/>
      <c r="AV75" s="91"/>
      <c r="AW75" s="44"/>
      <c r="AX75" s="44"/>
      <c r="AY75" s="44"/>
      <c r="AZ75" s="44"/>
      <c r="BA75" s="91"/>
      <c r="BB75" s="44"/>
      <c r="BC75" s="44"/>
      <c r="BD75" s="44"/>
      <c r="BF75" s="199"/>
      <c r="BJ75" s="155"/>
    </row>
    <row r="76" spans="1:62" ht="16.5" thickBot="1" x14ac:dyDescent="0.45">
      <c r="A76" s="1" t="s">
        <v>163</v>
      </c>
      <c r="B76" s="1" t="s">
        <v>164</v>
      </c>
      <c r="C76" s="2"/>
      <c r="D76" s="3" t="str">
        <f t="shared" ref="D76:AI76" si="32">D1</f>
        <v>1T15</v>
      </c>
      <c r="E76" s="3" t="str">
        <f t="shared" si="32"/>
        <v>2T15</v>
      </c>
      <c r="F76" s="3" t="str">
        <f t="shared" si="32"/>
        <v>3T15</v>
      </c>
      <c r="G76" s="3" t="str">
        <f t="shared" si="32"/>
        <v>4T15</v>
      </c>
      <c r="H76" s="4">
        <f t="shared" si="32"/>
        <v>2015</v>
      </c>
      <c r="I76" s="3" t="str">
        <f t="shared" si="32"/>
        <v>1T16</v>
      </c>
      <c r="J76" s="3" t="str">
        <f t="shared" si="32"/>
        <v>2T16</v>
      </c>
      <c r="K76" s="3" t="str">
        <f t="shared" si="32"/>
        <v>3T16</v>
      </c>
      <c r="L76" s="3" t="str">
        <f t="shared" si="32"/>
        <v>4T16</v>
      </c>
      <c r="M76" s="4">
        <f t="shared" si="32"/>
        <v>2016</v>
      </c>
      <c r="N76" s="3" t="str">
        <f t="shared" si="32"/>
        <v>1T17</v>
      </c>
      <c r="O76" s="3" t="str">
        <f t="shared" si="32"/>
        <v>2T17</v>
      </c>
      <c r="P76" s="3" t="str">
        <f t="shared" si="32"/>
        <v>3T17</v>
      </c>
      <c r="Q76" s="3" t="str">
        <f t="shared" si="32"/>
        <v>4T17</v>
      </c>
      <c r="R76" s="4">
        <f t="shared" si="32"/>
        <v>2017</v>
      </c>
      <c r="S76" s="3" t="str">
        <f t="shared" si="32"/>
        <v>1T18</v>
      </c>
      <c r="T76" s="3" t="str">
        <f t="shared" si="32"/>
        <v>2T18</v>
      </c>
      <c r="U76" s="3" t="str">
        <f t="shared" si="32"/>
        <v>3T18</v>
      </c>
      <c r="V76" s="3" t="str">
        <f t="shared" si="32"/>
        <v>4T18</v>
      </c>
      <c r="W76" s="4">
        <f t="shared" si="32"/>
        <v>2018</v>
      </c>
      <c r="X76" s="3" t="str">
        <f t="shared" si="32"/>
        <v>1T19</v>
      </c>
      <c r="Y76" s="3" t="str">
        <f t="shared" si="32"/>
        <v>2T19</v>
      </c>
      <c r="Z76" s="3" t="str">
        <f t="shared" si="32"/>
        <v>3T19</v>
      </c>
      <c r="AA76" s="3" t="str">
        <f t="shared" si="32"/>
        <v>4T19</v>
      </c>
      <c r="AB76" s="4">
        <f t="shared" si="32"/>
        <v>2019</v>
      </c>
      <c r="AC76" s="3" t="str">
        <f t="shared" si="32"/>
        <v>1T20</v>
      </c>
      <c r="AD76" s="3" t="str">
        <f t="shared" si="32"/>
        <v>2T20</v>
      </c>
      <c r="AE76" s="3" t="str">
        <f t="shared" si="32"/>
        <v>3T20</v>
      </c>
      <c r="AF76" s="3" t="str">
        <f t="shared" si="32"/>
        <v>4T20</v>
      </c>
      <c r="AG76" s="4">
        <f t="shared" si="32"/>
        <v>2020</v>
      </c>
      <c r="AH76" s="3" t="str">
        <f t="shared" si="32"/>
        <v>1T21</v>
      </c>
      <c r="AI76" s="3" t="str">
        <f t="shared" si="32"/>
        <v>2T21</v>
      </c>
      <c r="AJ76" s="3" t="str">
        <f t="shared" ref="AJ76:AZ76" si="33">AJ1</f>
        <v>3T21</v>
      </c>
      <c r="AK76" s="3" t="str">
        <f t="shared" si="33"/>
        <v>4T21</v>
      </c>
      <c r="AL76" s="4">
        <f t="shared" si="33"/>
        <v>2021</v>
      </c>
      <c r="AM76" s="3" t="str">
        <f t="shared" si="33"/>
        <v>1T22</v>
      </c>
      <c r="AN76" s="3" t="str">
        <f t="shared" si="33"/>
        <v>2T22</v>
      </c>
      <c r="AO76" s="3" t="str">
        <f t="shared" si="33"/>
        <v>3T22</v>
      </c>
      <c r="AP76" s="3" t="str">
        <f t="shared" si="33"/>
        <v>4T22</v>
      </c>
      <c r="AQ76" s="4">
        <f t="shared" si="33"/>
        <v>2022</v>
      </c>
      <c r="AR76" s="3" t="str">
        <f t="shared" si="33"/>
        <v>1T23</v>
      </c>
      <c r="AS76" s="3" t="str">
        <f t="shared" si="33"/>
        <v>2T23</v>
      </c>
      <c r="AT76" s="3" t="str">
        <f t="shared" si="33"/>
        <v>3T23</v>
      </c>
      <c r="AU76" s="3" t="s">
        <v>37</v>
      </c>
      <c r="AV76" s="4">
        <v>2023</v>
      </c>
      <c r="AW76" s="3" t="str">
        <f t="shared" si="33"/>
        <v>1T24</v>
      </c>
      <c r="AX76" s="3" t="str">
        <f t="shared" si="33"/>
        <v>2T24</v>
      </c>
      <c r="AY76" s="3" t="str">
        <f t="shared" si="33"/>
        <v>3T24</v>
      </c>
      <c r="AZ76" s="3" t="str">
        <f t="shared" si="33"/>
        <v>4T24</v>
      </c>
      <c r="BA76" s="4">
        <v>2024</v>
      </c>
      <c r="BB76" s="3" t="str">
        <f>BB1</f>
        <v>1T25</v>
      </c>
      <c r="BC76" s="3" t="s">
        <v>383</v>
      </c>
      <c r="BD76" s="3" t="s">
        <v>384</v>
      </c>
      <c r="BE76" s="3" t="s">
        <v>385</v>
      </c>
      <c r="BF76" s="4">
        <v>2025</v>
      </c>
      <c r="BG76" s="3" t="s">
        <v>386</v>
      </c>
      <c r="BH76" s="3" t="s">
        <v>387</v>
      </c>
      <c r="BJ76" s="155"/>
    </row>
    <row r="77" spans="1:62" s="17" customFormat="1" ht="18" customHeight="1" x14ac:dyDescent="0.4">
      <c r="A77" s="9" t="s">
        <v>165</v>
      </c>
      <c r="B77" s="9" t="s">
        <v>166</v>
      </c>
      <c r="C77" s="9"/>
      <c r="D77" s="6"/>
      <c r="E77" s="6"/>
      <c r="F77" s="6"/>
      <c r="G77" s="6"/>
      <c r="H77" s="66">
        <v>279.79535296</v>
      </c>
      <c r="I77" s="6">
        <v>280.03112661000006</v>
      </c>
      <c r="J77" s="6">
        <v>277.90942694</v>
      </c>
      <c r="K77" s="6">
        <v>277.13071878</v>
      </c>
      <c r="L77" s="6">
        <v>308.73607965999997</v>
      </c>
      <c r="M77" s="66">
        <v>308.73607965999997</v>
      </c>
      <c r="N77" s="6">
        <v>309.02199999999999</v>
      </c>
      <c r="O77" s="6">
        <v>307.048</v>
      </c>
      <c r="P77" s="6">
        <v>287.69099999999997</v>
      </c>
      <c r="Q77" s="6">
        <v>285.60599999999999</v>
      </c>
      <c r="R77" s="66">
        <v>285.60599999999999</v>
      </c>
      <c r="S77" s="6">
        <v>448.13064657000001</v>
      </c>
      <c r="T77" s="6">
        <v>227.14</v>
      </c>
      <c r="U77" s="6">
        <v>227.01400000000001</v>
      </c>
      <c r="V77" s="6">
        <v>292.63600000000002</v>
      </c>
      <c r="W77" s="66">
        <v>292.63600000000002</v>
      </c>
      <c r="X77" s="6">
        <v>293.36199999999997</v>
      </c>
      <c r="Y77" s="6">
        <v>294.12200000000001</v>
      </c>
      <c r="Z77" s="6">
        <v>340.90100000000001</v>
      </c>
      <c r="AA77" s="6">
        <v>361.10300000000001</v>
      </c>
      <c r="AB77" s="66">
        <v>361.10300000000001</v>
      </c>
      <c r="AC77" s="6">
        <v>430.553</v>
      </c>
      <c r="AD77" s="6">
        <v>474.88600000000002</v>
      </c>
      <c r="AE77" s="6">
        <v>494.07299999999998</v>
      </c>
      <c r="AF77" s="6">
        <v>401.23599999999999</v>
      </c>
      <c r="AG77" s="66">
        <v>401.23599999999999</v>
      </c>
      <c r="AH77" s="6">
        <v>388.05099999999999</v>
      </c>
      <c r="AI77" s="6">
        <v>315.8</v>
      </c>
      <c r="AJ77" s="6">
        <v>301.44099999999997</v>
      </c>
      <c r="AK77" s="6">
        <v>276.53899999999999</v>
      </c>
      <c r="AL77" s="66">
        <v>276.53899999999999</v>
      </c>
      <c r="AM77" s="6">
        <v>143.17099999999999</v>
      </c>
      <c r="AN77" s="6">
        <v>142.73099999999999</v>
      </c>
      <c r="AO77" s="6">
        <v>130.93600000000001</v>
      </c>
      <c r="AP77" s="6">
        <v>128.59299999999999</v>
      </c>
      <c r="AQ77" s="66">
        <v>128.59299999999999</v>
      </c>
      <c r="AR77" s="6">
        <v>210.40199999999999</v>
      </c>
      <c r="AS77" s="6">
        <v>332.21600000000001</v>
      </c>
      <c r="AT77" s="6">
        <v>309.88600000000002</v>
      </c>
      <c r="AU77" s="6">
        <v>311.589</v>
      </c>
      <c r="AV77" s="66">
        <v>311.589</v>
      </c>
      <c r="AW77" s="6">
        <v>302.76799999999997</v>
      </c>
      <c r="AX77" s="6">
        <v>299.69200000000001</v>
      </c>
      <c r="AY77" s="6">
        <v>263.98</v>
      </c>
      <c r="AZ77" s="6">
        <v>243.75399999999999</v>
      </c>
      <c r="BA77" s="66">
        <v>243.75399999999999</v>
      </c>
      <c r="BB77" s="6">
        <v>246.49299999999999</v>
      </c>
      <c r="BC77" s="6">
        <v>272.63400000000001</v>
      </c>
      <c r="BD77" s="6">
        <v>269.03100000000001</v>
      </c>
      <c r="BE77" s="6">
        <v>268.83800000000002</v>
      </c>
      <c r="BF77" s="160">
        <v>268.83800000000002</v>
      </c>
      <c r="BG77" s="6">
        <v>320.358</v>
      </c>
      <c r="BH77" s="6">
        <v>326.28699999999998</v>
      </c>
      <c r="BJ77" s="155"/>
    </row>
    <row r="78" spans="1:62" s="17" customFormat="1" x14ac:dyDescent="0.4">
      <c r="A78" s="9" t="s">
        <v>167</v>
      </c>
      <c r="B78" s="9" t="s">
        <v>168</v>
      </c>
      <c r="C78" s="9"/>
      <c r="D78" s="6"/>
      <c r="E78" s="6"/>
      <c r="F78" s="6"/>
      <c r="G78" s="6"/>
      <c r="H78" s="66">
        <v>4.1208160099999995</v>
      </c>
      <c r="I78" s="6">
        <v>7.6276168000000002</v>
      </c>
      <c r="J78" s="6">
        <v>5.8434338300000004</v>
      </c>
      <c r="K78" s="6">
        <v>9.1784711100000003</v>
      </c>
      <c r="L78" s="6">
        <v>8.0165575199999992</v>
      </c>
      <c r="M78" s="66">
        <v>8.0165575199999992</v>
      </c>
      <c r="N78" s="6">
        <v>11.872999999999999</v>
      </c>
      <c r="O78" s="6">
        <v>8.6199999999999992</v>
      </c>
      <c r="P78" s="6">
        <v>31.530999999999999</v>
      </c>
      <c r="Q78" s="6">
        <v>8.1579999999999995</v>
      </c>
      <c r="R78" s="66">
        <v>8.1579999999999995</v>
      </c>
      <c r="S78" s="6">
        <v>12.101990969999999</v>
      </c>
      <c r="T78" s="6">
        <v>3.2440000000000002</v>
      </c>
      <c r="U78" s="6">
        <v>3.0009999999999999</v>
      </c>
      <c r="V78" s="6">
        <v>5.3860000000000001</v>
      </c>
      <c r="W78" s="66">
        <v>5.3860000000000001</v>
      </c>
      <c r="X78" s="6">
        <v>3.6270000000000002</v>
      </c>
      <c r="Y78" s="6">
        <v>6.197000000000001</v>
      </c>
      <c r="Z78" s="6">
        <v>7.2540000000000004</v>
      </c>
      <c r="AA78" s="6">
        <v>6.702</v>
      </c>
      <c r="AB78" s="66">
        <v>6.702</v>
      </c>
      <c r="AC78" s="6">
        <v>5.8090000000000002</v>
      </c>
      <c r="AD78" s="6">
        <v>35.470999999999997</v>
      </c>
      <c r="AE78" s="6">
        <v>48.564</v>
      </c>
      <c r="AF78" s="6">
        <v>54.393000000000001</v>
      </c>
      <c r="AG78" s="66">
        <v>54.393000000000001</v>
      </c>
      <c r="AH78" s="6">
        <v>48.968000000000004</v>
      </c>
      <c r="AI78" s="6">
        <v>18.957000000000001</v>
      </c>
      <c r="AJ78" s="6">
        <v>12.006</v>
      </c>
      <c r="AK78" s="6">
        <v>12.579000000000001</v>
      </c>
      <c r="AL78" s="66">
        <v>12.579000000000001</v>
      </c>
      <c r="AM78" s="6">
        <v>121.74299999999999</v>
      </c>
      <c r="AN78" s="6">
        <v>95.644999999999996</v>
      </c>
      <c r="AO78" s="6">
        <v>93.19</v>
      </c>
      <c r="AP78" s="6">
        <v>80.325999999999993</v>
      </c>
      <c r="AQ78" s="66">
        <v>80.325999999999993</v>
      </c>
      <c r="AR78" s="6">
        <v>76.216999999999999</v>
      </c>
      <c r="AS78" s="6">
        <v>79.741</v>
      </c>
      <c r="AT78" s="6">
        <v>91.263999999999996</v>
      </c>
      <c r="AU78" s="6">
        <v>146.245</v>
      </c>
      <c r="AV78" s="66">
        <v>146.245</v>
      </c>
      <c r="AW78" s="6">
        <v>100.27</v>
      </c>
      <c r="AX78" s="6">
        <v>102.637</v>
      </c>
      <c r="AY78" s="6">
        <v>125.77</v>
      </c>
      <c r="AZ78" s="6">
        <v>143.929</v>
      </c>
      <c r="BA78" s="66">
        <v>143.929</v>
      </c>
      <c r="BB78" s="6">
        <v>161.82900000000001</v>
      </c>
      <c r="BC78" s="6">
        <v>142.31899999999999</v>
      </c>
      <c r="BD78" s="6">
        <v>124.077</v>
      </c>
      <c r="BE78" s="6">
        <v>119.095</v>
      </c>
      <c r="BF78" s="160">
        <v>119.095</v>
      </c>
      <c r="BG78" s="6">
        <v>115.0253206</v>
      </c>
      <c r="BH78" s="6">
        <v>116.85618362</v>
      </c>
      <c r="BJ78" s="155"/>
    </row>
    <row r="79" spans="1:62" s="17" customFormat="1" x14ac:dyDescent="0.4">
      <c r="A79" s="47" t="s">
        <v>169</v>
      </c>
      <c r="B79" s="47" t="s">
        <v>170</v>
      </c>
      <c r="C79" s="21"/>
      <c r="D79" s="48"/>
      <c r="E79" s="48"/>
      <c r="F79" s="48"/>
      <c r="G79" s="48"/>
      <c r="H79" s="69">
        <v>283.91616897</v>
      </c>
      <c r="I79" s="48">
        <v>287.65915700212503</v>
      </c>
      <c r="J79" s="48">
        <v>283.75286076999998</v>
      </c>
      <c r="K79" s="48">
        <v>286.30918988999997</v>
      </c>
      <c r="L79" s="48">
        <v>316.75263717999997</v>
      </c>
      <c r="M79" s="69">
        <v>316.75263717999997</v>
      </c>
      <c r="N79" s="48">
        <v>320.89499999999998</v>
      </c>
      <c r="O79" s="48">
        <v>315.66800000000001</v>
      </c>
      <c r="P79" s="48">
        <v>319.22199999999998</v>
      </c>
      <c r="Q79" s="48">
        <v>293.76400000000001</v>
      </c>
      <c r="R79" s="69">
        <v>293.76400000000001</v>
      </c>
      <c r="S79" s="48">
        <v>460.23263753999998</v>
      </c>
      <c r="T79" s="48">
        <v>230.38399999999999</v>
      </c>
      <c r="U79" s="48">
        <v>230.01500000000001</v>
      </c>
      <c r="V79" s="48">
        <v>298.02200000000005</v>
      </c>
      <c r="W79" s="69">
        <v>298.02200000000005</v>
      </c>
      <c r="X79" s="48">
        <v>296.98899999999998</v>
      </c>
      <c r="Y79" s="48">
        <v>300.31900000000002</v>
      </c>
      <c r="Z79" s="48">
        <v>348.15500000000003</v>
      </c>
      <c r="AA79" s="48">
        <v>367.80500000000001</v>
      </c>
      <c r="AB79" s="69">
        <v>367.80500000000001</v>
      </c>
      <c r="AC79" s="48">
        <v>436.36200000000002</v>
      </c>
      <c r="AD79" s="48">
        <v>510.35700000000003</v>
      </c>
      <c r="AE79" s="48">
        <v>542.63699999999994</v>
      </c>
      <c r="AF79" s="48">
        <v>455.62900000000002</v>
      </c>
      <c r="AG79" s="69">
        <v>455.62900000000002</v>
      </c>
      <c r="AH79" s="48">
        <v>437.01900000000001</v>
      </c>
      <c r="AI79" s="48">
        <v>334.75700000000001</v>
      </c>
      <c r="AJ79" s="48">
        <v>313.447</v>
      </c>
      <c r="AK79" s="48">
        <v>289.11799999999999</v>
      </c>
      <c r="AL79" s="69">
        <v>289.11799999999999</v>
      </c>
      <c r="AM79" s="48">
        <v>264.91399999999999</v>
      </c>
      <c r="AN79" s="48">
        <v>238.37599999999998</v>
      </c>
      <c r="AO79" s="48">
        <v>224.126</v>
      </c>
      <c r="AP79" s="48">
        <v>208.91899999999998</v>
      </c>
      <c r="AQ79" s="69">
        <v>208.91899999999998</v>
      </c>
      <c r="AR79" s="48">
        <v>286.61899999999997</v>
      </c>
      <c r="AS79" s="48">
        <v>411.95699999999999</v>
      </c>
      <c r="AT79" s="48">
        <v>401.15000000000003</v>
      </c>
      <c r="AU79" s="48">
        <v>457.834</v>
      </c>
      <c r="AV79" s="69">
        <v>457.834</v>
      </c>
      <c r="AW79" s="48">
        <v>403.03799999999995</v>
      </c>
      <c r="AX79" s="48">
        <v>402.32900000000001</v>
      </c>
      <c r="AY79" s="48">
        <v>389.75</v>
      </c>
      <c r="AZ79" s="48">
        <v>387.68299999999999</v>
      </c>
      <c r="BA79" s="69">
        <v>387.68299999999999</v>
      </c>
      <c r="BB79" s="48">
        <v>408.322</v>
      </c>
      <c r="BC79" s="48">
        <v>414.95299999999997</v>
      </c>
      <c r="BD79" s="48">
        <v>393.108</v>
      </c>
      <c r="BE79" s="48">
        <v>387.93299999999999</v>
      </c>
      <c r="BF79" s="179">
        <v>387.93299999999999</v>
      </c>
      <c r="BG79" s="48">
        <v>435.38332059999999</v>
      </c>
      <c r="BH79" s="48">
        <v>443.14318361999995</v>
      </c>
      <c r="BJ79" s="155"/>
    </row>
    <row r="80" spans="1:62" s="17" customFormat="1" x14ac:dyDescent="0.4">
      <c r="A80" s="9" t="s">
        <v>171</v>
      </c>
      <c r="B80" s="9" t="s">
        <v>172</v>
      </c>
      <c r="C80" s="21"/>
      <c r="D80" s="51"/>
      <c r="E80" s="51"/>
      <c r="F80" s="51"/>
      <c r="G80" s="51"/>
      <c r="H80" s="66"/>
      <c r="I80" s="6"/>
      <c r="J80" s="6"/>
      <c r="K80" s="6"/>
      <c r="L80" s="6"/>
      <c r="M80" s="66"/>
      <c r="N80" s="6"/>
      <c r="O80" s="6"/>
      <c r="P80" s="6"/>
      <c r="Q80" s="6"/>
      <c r="R80" s="66"/>
      <c r="S80" s="6"/>
      <c r="T80" s="6"/>
      <c r="U80" s="6"/>
      <c r="V80" s="6"/>
      <c r="W80" s="66"/>
      <c r="X80" s="6">
        <v>44.021000000000001</v>
      </c>
      <c r="Y80" s="6">
        <v>42.325000000000003</v>
      </c>
      <c r="Z80" s="6">
        <v>42.063000000000002</v>
      </c>
      <c r="AA80" s="6">
        <v>41.533000000000001</v>
      </c>
      <c r="AB80" s="66">
        <v>41.533000000000001</v>
      </c>
      <c r="AC80" s="6">
        <v>43.442</v>
      </c>
      <c r="AD80" s="6">
        <v>43.381999999999998</v>
      </c>
      <c r="AE80" s="6">
        <v>43.003</v>
      </c>
      <c r="AF80" s="6">
        <v>42.756999999999998</v>
      </c>
      <c r="AG80" s="66">
        <v>42.756999999999998</v>
      </c>
      <c r="AH80" s="6">
        <v>42.991999999999997</v>
      </c>
      <c r="AI80" s="6">
        <v>12.279</v>
      </c>
      <c r="AJ80" s="6">
        <v>11.888999999999999</v>
      </c>
      <c r="AK80" s="6">
        <v>12.831</v>
      </c>
      <c r="AL80" s="66">
        <v>12.831</v>
      </c>
      <c r="AM80" s="6">
        <v>13.538</v>
      </c>
      <c r="AN80" s="6">
        <v>12.792999999999999</v>
      </c>
      <c r="AO80" s="6">
        <v>14.225</v>
      </c>
      <c r="AP80" s="6">
        <v>34.588999999999999</v>
      </c>
      <c r="AQ80" s="66">
        <v>34.588999999999999</v>
      </c>
      <c r="AR80" s="6">
        <v>34.500999999999998</v>
      </c>
      <c r="AS80" s="6">
        <v>35.357999999999997</v>
      </c>
      <c r="AT80" s="6">
        <v>36.662999999999997</v>
      </c>
      <c r="AU80" s="6">
        <v>37.997999999999998</v>
      </c>
      <c r="AV80" s="66">
        <v>37.997999999999998</v>
      </c>
      <c r="AW80" s="6">
        <v>37.241</v>
      </c>
      <c r="AX80" s="6">
        <v>38.607999999999997</v>
      </c>
      <c r="AY80" s="6">
        <v>44.85</v>
      </c>
      <c r="AZ80" s="6">
        <v>47.548999999999999</v>
      </c>
      <c r="BA80" s="66">
        <v>47.548999999999999</v>
      </c>
      <c r="BB80" s="6">
        <v>49.451000000000001</v>
      </c>
      <c r="BC80" s="6">
        <v>49.216999999999999</v>
      </c>
      <c r="BD80" s="6">
        <v>54.353000000000002</v>
      </c>
      <c r="BE80" s="6">
        <v>54.426000000000002</v>
      </c>
      <c r="BF80" s="160">
        <v>54.426000000000002</v>
      </c>
      <c r="BG80" s="6">
        <v>55.075000000000003</v>
      </c>
      <c r="BH80" s="6">
        <v>55.323</v>
      </c>
      <c r="BJ80" s="155"/>
    </row>
    <row r="81" spans="1:62" s="17" customFormat="1" x14ac:dyDescent="0.4">
      <c r="A81" s="9" t="s">
        <v>173</v>
      </c>
      <c r="B81" s="9" t="s">
        <v>174</v>
      </c>
      <c r="C81" s="21"/>
      <c r="D81" s="51"/>
      <c r="E81" s="51"/>
      <c r="F81" s="51"/>
      <c r="G81" s="51"/>
      <c r="H81" s="66"/>
      <c r="I81" s="6"/>
      <c r="J81" s="6"/>
      <c r="K81" s="6"/>
      <c r="L81" s="6"/>
      <c r="M81" s="66"/>
      <c r="N81" s="6"/>
      <c r="O81" s="6"/>
      <c r="P81" s="6"/>
      <c r="Q81" s="6"/>
      <c r="R81" s="66"/>
      <c r="S81" s="6"/>
      <c r="T81" s="6"/>
      <c r="U81" s="6"/>
      <c r="V81" s="6"/>
      <c r="W81" s="66"/>
      <c r="X81" s="6">
        <v>2.4129999999999998</v>
      </c>
      <c r="Y81" s="6">
        <v>2.35</v>
      </c>
      <c r="Z81" s="6">
        <v>2.1520000000000001</v>
      </c>
      <c r="AA81" s="6">
        <v>2.1240000000000001</v>
      </c>
      <c r="AB81" s="66">
        <v>2.1240000000000001</v>
      </c>
      <c r="AC81" s="6">
        <v>2.3290000000000002</v>
      </c>
      <c r="AD81" s="6">
        <v>2.2810000000000001</v>
      </c>
      <c r="AE81" s="6">
        <v>2.125</v>
      </c>
      <c r="AF81" s="6">
        <v>2.028</v>
      </c>
      <c r="AG81" s="66">
        <v>2.028</v>
      </c>
      <c r="AH81" s="6">
        <v>1.617</v>
      </c>
      <c r="AI81" s="6">
        <v>3.1789999999999998</v>
      </c>
      <c r="AJ81" s="6">
        <v>3.242</v>
      </c>
      <c r="AK81" s="6">
        <v>3.6139999999999999</v>
      </c>
      <c r="AL81" s="66">
        <v>3.6139999999999999</v>
      </c>
      <c r="AM81" s="6">
        <v>3.911</v>
      </c>
      <c r="AN81" s="6">
        <v>3.9289999999999998</v>
      </c>
      <c r="AO81" s="6">
        <v>4.3289999999999997</v>
      </c>
      <c r="AP81" s="6">
        <v>3.0139999999999998</v>
      </c>
      <c r="AQ81" s="66">
        <v>3.0139999999999998</v>
      </c>
      <c r="AR81" s="6">
        <v>2.944</v>
      </c>
      <c r="AS81" s="6">
        <v>3.1190000000000002</v>
      </c>
      <c r="AT81" s="6">
        <v>3.5259999999999998</v>
      </c>
      <c r="AU81" s="6">
        <v>4.0069999999999997</v>
      </c>
      <c r="AV81" s="66">
        <v>4.0069999999999997</v>
      </c>
      <c r="AW81" s="6">
        <v>5.0289999999999999</v>
      </c>
      <c r="AX81" s="6">
        <v>5.1319999999999997</v>
      </c>
      <c r="AY81" s="6">
        <v>5.5339999999999998</v>
      </c>
      <c r="AZ81" s="6">
        <v>5.2539999999999996</v>
      </c>
      <c r="BA81" s="66">
        <v>5.2539999999999996</v>
      </c>
      <c r="BB81" s="6">
        <v>5.5410000000000004</v>
      </c>
      <c r="BC81" s="6">
        <v>4.6870000000000003</v>
      </c>
      <c r="BD81" s="6">
        <v>4.8899999999999997</v>
      </c>
      <c r="BE81" s="6">
        <v>6.8949999999999996</v>
      </c>
      <c r="BF81" s="160">
        <v>6.8949999999999996</v>
      </c>
      <c r="BG81" s="6">
        <v>7.5330000000000004</v>
      </c>
      <c r="BH81" s="6">
        <v>8.09</v>
      </c>
      <c r="BJ81" s="155"/>
    </row>
    <row r="82" spans="1:62" s="17" customFormat="1" x14ac:dyDescent="0.4">
      <c r="A82" s="47" t="s">
        <v>175</v>
      </c>
      <c r="B82" s="47" t="s">
        <v>176</v>
      </c>
      <c r="C82" s="21"/>
      <c r="D82" s="48"/>
      <c r="E82" s="48"/>
      <c r="F82" s="48"/>
      <c r="G82" s="48"/>
      <c r="H82" s="69"/>
      <c r="I82" s="48"/>
      <c r="J82" s="48"/>
      <c r="K82" s="48"/>
      <c r="L82" s="48"/>
      <c r="M82" s="69"/>
      <c r="N82" s="48"/>
      <c r="O82" s="48"/>
      <c r="P82" s="48"/>
      <c r="Q82" s="48"/>
      <c r="R82" s="69"/>
      <c r="S82" s="48"/>
      <c r="T82" s="48"/>
      <c r="U82" s="48"/>
      <c r="V82" s="48"/>
      <c r="W82" s="69"/>
      <c r="X82" s="48">
        <v>46.433999999999997</v>
      </c>
      <c r="Y82" s="48">
        <v>44.675000000000004</v>
      </c>
      <c r="Z82" s="48">
        <v>44.215000000000003</v>
      </c>
      <c r="AA82" s="48">
        <v>43.657000000000004</v>
      </c>
      <c r="AB82" s="69">
        <v>43.657000000000004</v>
      </c>
      <c r="AC82" s="48">
        <v>45.771000000000001</v>
      </c>
      <c r="AD82" s="48">
        <v>45.662999999999997</v>
      </c>
      <c r="AE82" s="48">
        <v>45.128</v>
      </c>
      <c r="AF82" s="48">
        <v>44.784999999999997</v>
      </c>
      <c r="AG82" s="69">
        <v>44.784999999999997</v>
      </c>
      <c r="AH82" s="48">
        <v>44.608999999999995</v>
      </c>
      <c r="AI82" s="48">
        <v>15.458</v>
      </c>
      <c r="AJ82" s="48">
        <v>15.131</v>
      </c>
      <c r="AK82" s="48">
        <v>16.445</v>
      </c>
      <c r="AL82" s="69">
        <v>16.445</v>
      </c>
      <c r="AM82" s="48">
        <v>17.449000000000002</v>
      </c>
      <c r="AN82" s="48">
        <v>16.721999999999998</v>
      </c>
      <c r="AO82" s="48">
        <v>18.553999999999998</v>
      </c>
      <c r="AP82" s="48">
        <v>37.603000000000002</v>
      </c>
      <c r="AQ82" s="69">
        <v>37.603000000000002</v>
      </c>
      <c r="AR82" s="48">
        <v>37.445</v>
      </c>
      <c r="AS82" s="48">
        <v>38.476999999999997</v>
      </c>
      <c r="AT82" s="48">
        <v>40.188999999999993</v>
      </c>
      <c r="AU82" s="48">
        <v>42.004999999999995</v>
      </c>
      <c r="AV82" s="69">
        <v>42.004999999999995</v>
      </c>
      <c r="AW82" s="48">
        <v>42.269999999999996</v>
      </c>
      <c r="AX82" s="48">
        <v>43.739999999999995</v>
      </c>
      <c r="AY82" s="48">
        <v>50.384</v>
      </c>
      <c r="AZ82" s="48">
        <v>52.802999999999997</v>
      </c>
      <c r="BA82" s="69">
        <v>52.802999999999997</v>
      </c>
      <c r="BB82" s="48">
        <v>54.992000000000004</v>
      </c>
      <c r="BC82" s="48">
        <v>53.903999999999996</v>
      </c>
      <c r="BD82" s="48">
        <v>59.243000000000002</v>
      </c>
      <c r="BE82" s="48">
        <v>61.320999999999998</v>
      </c>
      <c r="BF82" s="179">
        <v>61.320999999999998</v>
      </c>
      <c r="BG82" s="48">
        <v>62.608000000000004</v>
      </c>
      <c r="BH82" s="48">
        <v>63.412999999999997</v>
      </c>
      <c r="BJ82" s="155"/>
    </row>
    <row r="83" spans="1:62" s="17" customFormat="1" ht="22.5" customHeight="1" x14ac:dyDescent="0.4">
      <c r="A83" s="9" t="s">
        <v>177</v>
      </c>
      <c r="B83" s="9" t="s">
        <v>178</v>
      </c>
      <c r="C83" s="9"/>
      <c r="D83" s="6"/>
      <c r="E83" s="6"/>
      <c r="F83" s="6"/>
      <c r="G83" s="6"/>
      <c r="H83" s="66">
        <v>93.890999999999991</v>
      </c>
      <c r="I83" s="6">
        <v>83.954999999999998</v>
      </c>
      <c r="J83" s="6">
        <v>60.767000000000003</v>
      </c>
      <c r="K83" s="6">
        <v>64.301000000000002</v>
      </c>
      <c r="L83" s="6">
        <v>112.098</v>
      </c>
      <c r="M83" s="66">
        <v>112.098</v>
      </c>
      <c r="N83" s="6">
        <v>116.515</v>
      </c>
      <c r="O83" s="6">
        <v>141.94900000000001</v>
      </c>
      <c r="P83" s="6">
        <v>161.6</v>
      </c>
      <c r="Q83" s="6">
        <v>167.29300000000001</v>
      </c>
      <c r="R83" s="66">
        <v>167.29300000000001</v>
      </c>
      <c r="S83" s="6">
        <v>356.36200000000002</v>
      </c>
      <c r="T83" s="6">
        <v>141.976</v>
      </c>
      <c r="U83" s="6">
        <v>168.34299999999999</v>
      </c>
      <c r="V83" s="6">
        <v>148.161</v>
      </c>
      <c r="W83" s="66">
        <v>148.161</v>
      </c>
      <c r="X83" s="6">
        <v>161.631</v>
      </c>
      <c r="Y83" s="6">
        <v>104.889</v>
      </c>
      <c r="Z83" s="6">
        <v>116.38</v>
      </c>
      <c r="AA83" s="6">
        <v>101.312</v>
      </c>
      <c r="AB83" s="66">
        <v>101.312</v>
      </c>
      <c r="AC83" s="6">
        <v>150.01400000000001</v>
      </c>
      <c r="AD83" s="6">
        <v>227.77799999999999</v>
      </c>
      <c r="AE83" s="6">
        <v>234.07900000000001</v>
      </c>
      <c r="AF83" s="6">
        <v>448.08800000000002</v>
      </c>
      <c r="AG83" s="66">
        <v>448.08800000000002</v>
      </c>
      <c r="AH83" s="6">
        <v>396.25299999999999</v>
      </c>
      <c r="AI83" s="6">
        <v>298.19299999999998</v>
      </c>
      <c r="AJ83" s="6">
        <v>302.822</v>
      </c>
      <c r="AK83" s="6">
        <v>318.49700000000001</v>
      </c>
      <c r="AL83" s="66">
        <v>318.49700000000001</v>
      </c>
      <c r="AM83" s="6">
        <v>290.09899999999999</v>
      </c>
      <c r="AN83" s="6">
        <v>271.67399999999998</v>
      </c>
      <c r="AO83" s="6">
        <v>311.88799999999998</v>
      </c>
      <c r="AP83" s="6">
        <v>278.37700000000001</v>
      </c>
      <c r="AQ83" s="66">
        <v>278.37700000000001</v>
      </c>
      <c r="AR83" s="6">
        <v>247.26499999999999</v>
      </c>
      <c r="AS83" s="6">
        <v>323.27800000000002</v>
      </c>
      <c r="AT83" s="6">
        <v>246.37299999999999</v>
      </c>
      <c r="AU83" s="6">
        <v>311.22699999999998</v>
      </c>
      <c r="AV83" s="66">
        <v>311.22699999999998</v>
      </c>
      <c r="AW83" s="6">
        <v>227.792</v>
      </c>
      <c r="AX83" s="6">
        <v>220.649</v>
      </c>
      <c r="AY83" s="6">
        <v>236.548</v>
      </c>
      <c r="AZ83" s="6">
        <v>184.58199999999999</v>
      </c>
      <c r="BA83" s="66">
        <v>184.58199999999999</v>
      </c>
      <c r="BB83" s="6">
        <v>212.56700000000001</v>
      </c>
      <c r="BC83" s="6">
        <v>210.12</v>
      </c>
      <c r="BD83" s="6">
        <v>194.2</v>
      </c>
      <c r="BE83" s="6">
        <v>180.57400000000001</v>
      </c>
      <c r="BF83" s="160">
        <v>180.57400000000001</v>
      </c>
      <c r="BG83" s="6">
        <v>155.85499999999999</v>
      </c>
      <c r="BH83" s="6">
        <v>136.01499999999999</v>
      </c>
      <c r="BJ83" s="155"/>
    </row>
    <row r="84" spans="1:62" s="17" customFormat="1" x14ac:dyDescent="0.4">
      <c r="A84" s="9" t="s">
        <v>179</v>
      </c>
      <c r="B84" s="9" t="s">
        <v>180</v>
      </c>
      <c r="C84" s="9"/>
      <c r="D84" s="6"/>
      <c r="E84" s="6"/>
      <c r="F84" s="6"/>
      <c r="G84" s="6"/>
      <c r="H84" s="66">
        <v>8.6989999999999998</v>
      </c>
      <c r="I84" s="6">
        <v>9.2690000000000001</v>
      </c>
      <c r="J84" s="6">
        <v>11.295</v>
      </c>
      <c r="K84" s="6">
        <v>10.656000000000001</v>
      </c>
      <c r="L84" s="6">
        <v>9.5760000000000005</v>
      </c>
      <c r="M84" s="66">
        <v>9.5760000000000005</v>
      </c>
      <c r="N84" s="6">
        <v>10.236000000000001</v>
      </c>
      <c r="O84" s="6">
        <v>9.7639999999999993</v>
      </c>
      <c r="P84" s="6">
        <v>8.8170000000000002</v>
      </c>
      <c r="Q84" s="6">
        <v>6.3689999999999998</v>
      </c>
      <c r="R84" s="66">
        <v>6.3689999999999998</v>
      </c>
      <c r="S84" s="6">
        <v>5.5410000000000004</v>
      </c>
      <c r="T84" s="6">
        <v>3.8660000000000001</v>
      </c>
      <c r="U84" s="6">
        <v>1.4830000000000001</v>
      </c>
      <c r="V84" s="6">
        <v>2.218</v>
      </c>
      <c r="W84" s="66">
        <v>2.218</v>
      </c>
      <c r="X84" s="6">
        <v>2.8180000000000001</v>
      </c>
      <c r="Y84" s="6">
        <v>6.91</v>
      </c>
      <c r="Z84" s="6">
        <v>3.6469999999999998</v>
      </c>
      <c r="AA84" s="6">
        <v>4.4409999999999998</v>
      </c>
      <c r="AB84" s="66">
        <v>4.4409999999999998</v>
      </c>
      <c r="AC84" s="6">
        <v>6.1479999999999997</v>
      </c>
      <c r="AD84" s="6">
        <v>6.1360000000000001</v>
      </c>
      <c r="AE84" s="6">
        <v>3.2690000000000001</v>
      </c>
      <c r="AF84" s="6">
        <v>8.9730000000000008</v>
      </c>
      <c r="AG84" s="66">
        <v>8.9730000000000008</v>
      </c>
      <c r="AH84" s="6">
        <v>10.638999999999999</v>
      </c>
      <c r="AI84" s="6">
        <v>8.8239999999999998</v>
      </c>
      <c r="AJ84" s="6">
        <v>7.5309999999999997</v>
      </c>
      <c r="AK84" s="6">
        <v>6.5970000000000004</v>
      </c>
      <c r="AL84" s="66">
        <v>6.5970000000000004</v>
      </c>
      <c r="AM84" s="6">
        <v>6.5960000000000001</v>
      </c>
      <c r="AN84" s="6">
        <v>5.9530000000000003</v>
      </c>
      <c r="AO84" s="6">
        <v>5.42</v>
      </c>
      <c r="AP84" s="6">
        <v>4.24</v>
      </c>
      <c r="AQ84" s="66">
        <v>4.24</v>
      </c>
      <c r="AR84" s="6">
        <v>4.4989999999999997</v>
      </c>
      <c r="AS84" s="6">
        <v>3.419</v>
      </c>
      <c r="AT84" s="6">
        <v>4.5289999999999999</v>
      </c>
      <c r="AU84" s="6">
        <v>2.4809999999999999</v>
      </c>
      <c r="AV84" s="66">
        <v>2.4809999999999999</v>
      </c>
      <c r="AW84" s="6">
        <v>3.5630000000000002</v>
      </c>
      <c r="AX84" s="6">
        <v>4.0190000000000001</v>
      </c>
      <c r="AY84" s="6">
        <v>3.17</v>
      </c>
      <c r="AZ84" s="6">
        <v>13.343</v>
      </c>
      <c r="BA84" s="66">
        <v>13.343</v>
      </c>
      <c r="BB84" s="6">
        <v>3.4790000000000001</v>
      </c>
      <c r="BC84" s="6">
        <v>2.718</v>
      </c>
      <c r="BD84" s="6">
        <v>2.5310000000000001</v>
      </c>
      <c r="BE84" s="6">
        <v>2.36</v>
      </c>
      <c r="BF84" s="160">
        <v>2.36</v>
      </c>
      <c r="BG84" s="6">
        <v>1.982</v>
      </c>
      <c r="BH84" s="6">
        <v>1.8089999999999999</v>
      </c>
      <c r="BJ84" s="155"/>
    </row>
    <row r="85" spans="1:62" s="17" customFormat="1" x14ac:dyDescent="0.4">
      <c r="A85" s="47" t="s">
        <v>181</v>
      </c>
      <c r="B85" s="47" t="s">
        <v>182</v>
      </c>
      <c r="C85" s="21"/>
      <c r="D85" s="48"/>
      <c r="E85" s="48"/>
      <c r="F85" s="48"/>
      <c r="G85" s="48"/>
      <c r="H85" s="69">
        <v>181.32616897</v>
      </c>
      <c r="I85" s="48">
        <v>194.43115700212499</v>
      </c>
      <c r="J85" s="48">
        <v>211.69086076999997</v>
      </c>
      <c r="K85" s="48">
        <v>211.35218988999998</v>
      </c>
      <c r="L85" s="48">
        <v>195.07863717999996</v>
      </c>
      <c r="M85" s="69">
        <v>195.07863717999996</v>
      </c>
      <c r="N85" s="48">
        <v>194.14400000000001</v>
      </c>
      <c r="O85" s="48">
        <v>163.95499999999998</v>
      </c>
      <c r="P85" s="48">
        <v>148.80499999999998</v>
      </c>
      <c r="Q85" s="48">
        <v>120.102</v>
      </c>
      <c r="R85" s="69">
        <v>120.102</v>
      </c>
      <c r="S85" s="48">
        <v>98.329637539999965</v>
      </c>
      <c r="T85" s="48">
        <v>84.541999999999987</v>
      </c>
      <c r="U85" s="48">
        <v>60.189000000000028</v>
      </c>
      <c r="V85" s="48">
        <v>147.64300000000006</v>
      </c>
      <c r="W85" s="69">
        <v>147.64300000000006</v>
      </c>
      <c r="X85" s="48">
        <v>178.97399999999999</v>
      </c>
      <c r="Y85" s="48">
        <v>233.19500000000002</v>
      </c>
      <c r="Z85" s="48">
        <v>272.34300000000002</v>
      </c>
      <c r="AA85" s="48">
        <v>305.709</v>
      </c>
      <c r="AB85" s="69">
        <v>305.709</v>
      </c>
      <c r="AC85" s="48">
        <v>325.971</v>
      </c>
      <c r="AD85" s="48">
        <v>322.10599999999994</v>
      </c>
      <c r="AE85" s="48">
        <v>350.41699999999997</v>
      </c>
      <c r="AF85" s="48">
        <v>43.352999999999966</v>
      </c>
      <c r="AG85" s="69">
        <v>43.352999999999966</v>
      </c>
      <c r="AH85" s="48">
        <v>74.736000000000004</v>
      </c>
      <c r="AI85" s="48">
        <v>43.19800000000005</v>
      </c>
      <c r="AJ85" s="48">
        <v>18.224999999999973</v>
      </c>
      <c r="AK85" s="48">
        <v>-19.531000000000027</v>
      </c>
      <c r="AL85" s="69">
        <v>-19.531000000000027</v>
      </c>
      <c r="AM85" s="48">
        <v>-14.33199999999999</v>
      </c>
      <c r="AN85" s="48">
        <v>-22.528999999999993</v>
      </c>
      <c r="AO85" s="48">
        <v>-74.627999999999972</v>
      </c>
      <c r="AP85" s="48">
        <v>-36.09500000000002</v>
      </c>
      <c r="AQ85" s="69">
        <v>-36.09500000000002</v>
      </c>
      <c r="AR85" s="48">
        <v>72.299999999999983</v>
      </c>
      <c r="AS85" s="48">
        <v>123.73699999999995</v>
      </c>
      <c r="AT85" s="48">
        <v>190.43700000000007</v>
      </c>
      <c r="AU85" s="48">
        <v>186.13100000000003</v>
      </c>
      <c r="AV85" s="69">
        <v>186.13100000000003</v>
      </c>
      <c r="AW85" s="48">
        <v>213.95299999999995</v>
      </c>
      <c r="AX85" s="48">
        <v>221.40100000000001</v>
      </c>
      <c r="AY85" s="48">
        <v>200.41600000000003</v>
      </c>
      <c r="AZ85" s="48">
        <v>242.56100000000001</v>
      </c>
      <c r="BA85" s="69">
        <v>242.56100000000001</v>
      </c>
      <c r="BB85" s="48">
        <v>247.268</v>
      </c>
      <c r="BC85" s="48">
        <v>256.01899999999995</v>
      </c>
      <c r="BD85" s="48">
        <v>255.62</v>
      </c>
      <c r="BE85" s="48">
        <v>266.32</v>
      </c>
      <c r="BF85" s="179">
        <v>266.32</v>
      </c>
      <c r="BG85" s="48">
        <v>340.15432059999995</v>
      </c>
      <c r="BH85" s="48">
        <v>368.73218361999994</v>
      </c>
      <c r="BJ85" s="155"/>
    </row>
    <row r="86" spans="1:62" ht="16.5" thickBot="1" x14ac:dyDescent="0.45">
      <c r="D86" s="17"/>
      <c r="E86" s="17"/>
      <c r="F86" s="6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67"/>
      <c r="AU86" s="67"/>
      <c r="AV86" s="17"/>
      <c r="AW86" s="17"/>
      <c r="AX86" s="17"/>
      <c r="AY86" s="17"/>
      <c r="AZ86" s="17"/>
      <c r="BA86" s="17"/>
      <c r="BB86" s="17"/>
      <c r="BC86" s="17"/>
      <c r="BD86" s="17"/>
      <c r="BF86" s="17"/>
      <c r="BJ86" s="155"/>
    </row>
    <row r="87" spans="1:62" ht="16.5" thickBot="1" x14ac:dyDescent="0.45">
      <c r="A87" s="1" t="s">
        <v>183</v>
      </c>
      <c r="B87" s="92" t="s">
        <v>183</v>
      </c>
      <c r="C87" s="2"/>
      <c r="D87" s="3" t="str">
        <f t="shared" ref="D87:AT87" si="34">D1</f>
        <v>1T15</v>
      </c>
      <c r="E87" s="3" t="str">
        <f t="shared" si="34"/>
        <v>2T15</v>
      </c>
      <c r="F87" s="3" t="str">
        <f t="shared" si="34"/>
        <v>3T15</v>
      </c>
      <c r="G87" s="3" t="str">
        <f t="shared" si="34"/>
        <v>4T15</v>
      </c>
      <c r="H87" s="4">
        <f t="shared" si="34"/>
        <v>2015</v>
      </c>
      <c r="I87" s="3" t="str">
        <f t="shared" si="34"/>
        <v>1T16</v>
      </c>
      <c r="J87" s="3" t="str">
        <f t="shared" si="34"/>
        <v>2T16</v>
      </c>
      <c r="K87" s="3" t="str">
        <f t="shared" si="34"/>
        <v>3T16</v>
      </c>
      <c r="L87" s="3" t="str">
        <f t="shared" si="34"/>
        <v>4T16</v>
      </c>
      <c r="M87" s="4">
        <f t="shared" si="34"/>
        <v>2016</v>
      </c>
      <c r="N87" s="3" t="str">
        <f t="shared" si="34"/>
        <v>1T17</v>
      </c>
      <c r="O87" s="3" t="str">
        <f t="shared" si="34"/>
        <v>2T17</v>
      </c>
      <c r="P87" s="3" t="str">
        <f t="shared" si="34"/>
        <v>3T17</v>
      </c>
      <c r="Q87" s="3" t="str">
        <f t="shared" si="34"/>
        <v>4T17</v>
      </c>
      <c r="R87" s="4">
        <f t="shared" si="34"/>
        <v>2017</v>
      </c>
      <c r="S87" s="3" t="str">
        <f t="shared" si="34"/>
        <v>1T18</v>
      </c>
      <c r="T87" s="3" t="str">
        <f t="shared" si="34"/>
        <v>2T18</v>
      </c>
      <c r="U87" s="3" t="str">
        <f t="shared" si="34"/>
        <v>3T18</v>
      </c>
      <c r="V87" s="3" t="str">
        <f t="shared" si="34"/>
        <v>4T18</v>
      </c>
      <c r="W87" s="4">
        <f t="shared" si="34"/>
        <v>2018</v>
      </c>
      <c r="X87" s="3" t="str">
        <f t="shared" si="34"/>
        <v>1T19</v>
      </c>
      <c r="Y87" s="3" t="str">
        <f t="shared" si="34"/>
        <v>2T19</v>
      </c>
      <c r="Z87" s="3" t="str">
        <f t="shared" si="34"/>
        <v>3T19</v>
      </c>
      <c r="AA87" s="3" t="str">
        <f t="shared" si="34"/>
        <v>4T19</v>
      </c>
      <c r="AB87" s="4">
        <f t="shared" si="34"/>
        <v>2019</v>
      </c>
      <c r="AC87" s="3" t="str">
        <f t="shared" si="34"/>
        <v>1T20</v>
      </c>
      <c r="AD87" s="3" t="str">
        <f t="shared" si="34"/>
        <v>2T20</v>
      </c>
      <c r="AE87" s="3" t="str">
        <f t="shared" si="34"/>
        <v>3T20</v>
      </c>
      <c r="AF87" s="3" t="str">
        <f t="shared" si="34"/>
        <v>4T20</v>
      </c>
      <c r="AG87" s="4">
        <f t="shared" si="34"/>
        <v>2020</v>
      </c>
      <c r="AH87" s="3" t="str">
        <f t="shared" si="34"/>
        <v>1T21</v>
      </c>
      <c r="AI87" s="3" t="str">
        <f t="shared" si="34"/>
        <v>2T21</v>
      </c>
      <c r="AJ87" s="3" t="str">
        <f t="shared" si="34"/>
        <v>3T21</v>
      </c>
      <c r="AK87" s="3" t="str">
        <f t="shared" si="34"/>
        <v>4T21</v>
      </c>
      <c r="AL87" s="4">
        <f t="shared" si="34"/>
        <v>2021</v>
      </c>
      <c r="AM87" s="3" t="str">
        <f t="shared" si="34"/>
        <v>1T22</v>
      </c>
      <c r="AN87" s="3" t="str">
        <f t="shared" si="34"/>
        <v>2T22</v>
      </c>
      <c r="AO87" s="3" t="str">
        <f t="shared" si="34"/>
        <v>3T22</v>
      </c>
      <c r="AP87" s="3" t="str">
        <f t="shared" si="34"/>
        <v>4T22</v>
      </c>
      <c r="AQ87" s="4">
        <f t="shared" si="34"/>
        <v>2022</v>
      </c>
      <c r="AR87" s="3" t="str">
        <f t="shared" si="34"/>
        <v>1T23</v>
      </c>
      <c r="AS87" s="3" t="str">
        <f t="shared" si="34"/>
        <v>2T23</v>
      </c>
      <c r="AT87" s="3" t="str">
        <f t="shared" si="34"/>
        <v>3T23</v>
      </c>
      <c r="AU87" s="3" t="s">
        <v>37</v>
      </c>
      <c r="AV87" s="4">
        <v>2023</v>
      </c>
      <c r="AW87" s="3" t="str">
        <f t="shared" ref="AW87:BB87" si="35">AW1</f>
        <v>1T24</v>
      </c>
      <c r="AX87" s="3" t="str">
        <f t="shared" si="35"/>
        <v>2T24</v>
      </c>
      <c r="AY87" s="3" t="str">
        <f t="shared" si="35"/>
        <v>3T24</v>
      </c>
      <c r="AZ87" s="3" t="str">
        <f t="shared" si="35"/>
        <v>4T24</v>
      </c>
      <c r="BA87" s="4">
        <f t="shared" si="35"/>
        <v>2024</v>
      </c>
      <c r="BB87" s="3" t="str">
        <f t="shared" si="35"/>
        <v>1T25</v>
      </c>
      <c r="BC87" s="3" t="s">
        <v>383</v>
      </c>
      <c r="BD87" s="3" t="s">
        <v>384</v>
      </c>
      <c r="BE87" s="3" t="s">
        <v>385</v>
      </c>
      <c r="BF87" s="4">
        <v>2025</v>
      </c>
      <c r="BG87" s="3" t="s">
        <v>386</v>
      </c>
      <c r="BH87" s="3" t="s">
        <v>387</v>
      </c>
      <c r="BJ87" s="155"/>
    </row>
    <row r="88" spans="1:62" x14ac:dyDescent="0.4">
      <c r="A88" s="5" t="s">
        <v>184</v>
      </c>
      <c r="B88" s="5" t="s">
        <v>185</v>
      </c>
      <c r="C88" s="5"/>
      <c r="D88" s="6"/>
      <c r="E88" s="6"/>
      <c r="F88" s="6"/>
      <c r="G88" s="6"/>
      <c r="H88" s="7">
        <f>H35</f>
        <v>107.66297753695891</v>
      </c>
      <c r="I88" s="6">
        <f>I35+G35+F35+E35</f>
        <v>110.6409775369589</v>
      </c>
      <c r="J88" s="6">
        <f>J35+I35+G35+F35</f>
        <v>97.311977536958892</v>
      </c>
      <c r="K88" s="6">
        <f>K35+J35+I35+G35</f>
        <v>84.9059775369589</v>
      </c>
      <c r="L88" s="6">
        <f>L35+K35+J35+I35</f>
        <v>52.9</v>
      </c>
      <c r="M88" s="7">
        <f>M35</f>
        <v>52.9</v>
      </c>
      <c r="N88" s="6">
        <f>N35+L35+K35+J35</f>
        <v>56.935000000000002</v>
      </c>
      <c r="O88" s="6">
        <f>O35+N35+L35+K35</f>
        <v>76.337000000000003</v>
      </c>
      <c r="P88" s="6">
        <f>P35+O35+N35+L35</f>
        <v>95.248999999999995</v>
      </c>
      <c r="Q88" s="6">
        <f>Q35+P35+O35+N35</f>
        <v>121.37100000000001</v>
      </c>
      <c r="R88" s="7">
        <f>R35</f>
        <v>121.371</v>
      </c>
      <c r="S88" s="6">
        <f>S35+Q35+P35+O35</f>
        <v>144.73400000000001</v>
      </c>
      <c r="T88" s="6">
        <f>T35+S35+Q35+P35</f>
        <v>163.09399999999999</v>
      </c>
      <c r="U88" s="6">
        <f>U35+T35+S35+Q35</f>
        <v>181.25699999999998</v>
      </c>
      <c r="V88" s="6">
        <f>V35+U35+T35+S35</f>
        <v>183.84099999999998</v>
      </c>
      <c r="W88" s="7">
        <f>W35</f>
        <v>183.84100000000001</v>
      </c>
      <c r="X88" s="6">
        <f>X35+V35+U35+T35</f>
        <v>165.36500000000001</v>
      </c>
      <c r="Y88" s="6">
        <f>Y35+X35+V35+U35</f>
        <v>131.422</v>
      </c>
      <c r="Z88" s="6">
        <f>Z35+Y35+X35+V35</f>
        <v>80.040999999999997</v>
      </c>
      <c r="AA88" s="6">
        <f>AA35+Z35+Y35+X35</f>
        <v>10.407</v>
      </c>
      <c r="AB88" s="7">
        <f>AB35</f>
        <v>10.407</v>
      </c>
      <c r="AC88" s="6">
        <f>AC35+AA35+Z35+Y35</f>
        <v>-24.706999999999997</v>
      </c>
      <c r="AD88" s="6">
        <f>AD35+AC35+AA35+Z35</f>
        <v>-52.258000000000003</v>
      </c>
      <c r="AE88" s="6">
        <f>AE35+AD35+AC35+AA35</f>
        <v>-70.335999999999999</v>
      </c>
      <c r="AF88" s="6">
        <f>AF35+AE35+AD35+AC35</f>
        <v>-57.963999999999999</v>
      </c>
      <c r="AG88" s="7">
        <f>AG35</f>
        <v>-57.963999999999999</v>
      </c>
      <c r="AH88" s="6">
        <f>AH35+AF35+AE35+AD35</f>
        <v>-56.07</v>
      </c>
      <c r="AI88" s="6">
        <f>AI35+AH35+AF35+AE35+184.1</f>
        <v>-23.294999999999987</v>
      </c>
      <c r="AJ88" s="6">
        <f>AJ35+AI35+AH35+AF35+184.1</f>
        <v>10.632000000000005</v>
      </c>
      <c r="AK88" s="6">
        <f>AK35+AJ35+AI35+AH35+184.1</f>
        <v>25.674999999999983</v>
      </c>
      <c r="AL88" s="7">
        <f>AL35+184.1</f>
        <v>25.674999999999983</v>
      </c>
      <c r="AM88" s="6">
        <f>AM35+AK35+AJ35+AI35+184.1</f>
        <v>44.730999999999966</v>
      </c>
      <c r="AN88" s="6">
        <f>AN35+AM35+AK35+AJ35</f>
        <v>62.707307999999969</v>
      </c>
      <c r="AO88" s="6">
        <f>AO35+AN35+AM35+AK35</f>
        <v>74.315999999999988</v>
      </c>
      <c r="AP88" s="6">
        <f>AP35+AO35+AN35+(AM35-164)</f>
        <v>84.32499999999996</v>
      </c>
      <c r="AQ88" s="7">
        <f>AQ35-164</f>
        <v>84.324999999999989</v>
      </c>
      <c r="AR88" s="6">
        <f>AR35+AP35+AO35+(AN35-164)</f>
        <v>85.447999999999979</v>
      </c>
      <c r="AS88" s="6">
        <f>AS35+AR35+(AP35-164)+AO35</f>
        <v>35.56269199999997</v>
      </c>
      <c r="AT88" s="6">
        <f>AT35+AS35+AR35+(AP35-164)</f>
        <v>-13.743000000000027</v>
      </c>
      <c r="AU88" s="6">
        <v>-15.516999999999999</v>
      </c>
      <c r="AV88" s="7">
        <v>-15.516999999999999</v>
      </c>
      <c r="AW88" s="6">
        <f>AW35+AU35+AT35+AS35</f>
        <v>-14.928000000000001</v>
      </c>
      <c r="AX88" s="6">
        <f>AX35+AW35+AU35+AT35</f>
        <v>41.787000000000013</v>
      </c>
      <c r="AY88" s="6">
        <f>AY35+AX35+AW35+AU35</f>
        <v>88.817999999999998</v>
      </c>
      <c r="AZ88" s="6">
        <f>AZ35+AY35+AX35+AW35</f>
        <v>72.634</v>
      </c>
      <c r="BA88" s="7">
        <f>BA35</f>
        <v>72.634</v>
      </c>
      <c r="BB88" s="6">
        <f>BB35+AZ35+AY35+AX35</f>
        <v>75.872</v>
      </c>
      <c r="BC88" s="6">
        <f>BC35+BB35+AZ35+AY35</f>
        <v>36.451000000000001</v>
      </c>
      <c r="BD88" s="6">
        <f>BD35+BC35+BB35+AZ35</f>
        <v>-0.90300000000000047</v>
      </c>
      <c r="BE88" s="6">
        <v>-30.059000000000001</v>
      </c>
      <c r="BF88" s="158">
        <v>-30.059000000000001</v>
      </c>
      <c r="BG88" s="6">
        <v>-56.239000000000004</v>
      </c>
      <c r="BH88" s="6">
        <v>-51.825000000000003</v>
      </c>
      <c r="BJ88" s="155"/>
    </row>
    <row r="89" spans="1:62" x14ac:dyDescent="0.4">
      <c r="A89" s="5" t="s">
        <v>186</v>
      </c>
      <c r="B89" s="5" t="s">
        <v>187</v>
      </c>
      <c r="C89" s="5"/>
      <c r="D89" s="6"/>
      <c r="E89" s="6"/>
      <c r="F89" s="6"/>
      <c r="G89" s="6"/>
      <c r="H89" s="7">
        <f>'WEB CONSOLIDADO'!H93-'WEB RENOVABLES'!H84</f>
        <v>412.71799999999996</v>
      </c>
      <c r="I89" s="6">
        <f>'WEB CONSOLIDADO'!I93-'WEB RENOVABLES'!I84</f>
        <v>400.65</v>
      </c>
      <c r="J89" s="6">
        <f>'WEB CONSOLIDADO'!J93-'WEB RENOVABLES'!J84</f>
        <v>401.71</v>
      </c>
      <c r="K89" s="6">
        <f>'WEB CONSOLIDADO'!K93-'WEB RENOVABLES'!K84</f>
        <v>400.09</v>
      </c>
      <c r="L89" s="6">
        <f>'WEB CONSOLIDADO'!L93-'WEB RENOVABLES'!L84</f>
        <v>399.26500000000004</v>
      </c>
      <c r="M89" s="7">
        <f>'WEB CONSOLIDADO'!M93-'WEB RENOVABLES'!M84</f>
        <v>399.26500000000004</v>
      </c>
      <c r="N89" s="6">
        <f>'WEB CONSOLIDADO'!N93-'WEB RENOVABLES'!N84</f>
        <v>415.19500000000005</v>
      </c>
      <c r="O89" s="6">
        <f>'WEB CONSOLIDADO'!O93-'WEB RENOVABLES'!O84</f>
        <v>451.91</v>
      </c>
      <c r="P89" s="6">
        <f>'WEB CONSOLIDADO'!P93-'WEB RENOVABLES'!P84</f>
        <v>464.28699999999998</v>
      </c>
      <c r="Q89" s="6">
        <f>'WEB CONSOLIDADO'!Q93-'WEB RENOVABLES'!Q84</f>
        <v>479.93400000000003</v>
      </c>
      <c r="R89" s="7">
        <f>'WEB CONSOLIDADO'!R93-'WEB RENOVABLES'!R84</f>
        <v>479.93400000000003</v>
      </c>
      <c r="S89" s="6">
        <f>'WEB CONSOLIDADO'!S93-'WEB RENOVABLES'!S84</f>
        <v>504.84400000000005</v>
      </c>
      <c r="T89" s="6">
        <f>'WEB CONSOLIDADO'!T93-'WEB RENOVABLES'!T84</f>
        <v>509.97300000000007</v>
      </c>
      <c r="U89" s="6">
        <f>'WEB CONSOLIDADO'!U93-'WEB RENOVABLES'!U84</f>
        <v>518.63699999999994</v>
      </c>
      <c r="V89" s="6">
        <f>'WEB CONSOLIDADO'!V93-'WEB RENOVABLES'!V84</f>
        <v>445.82100000000003</v>
      </c>
      <c r="W89" s="7">
        <f>'WEB CONSOLIDADO'!W93-'WEB RENOVABLES'!W84</f>
        <v>445.82100000000003</v>
      </c>
      <c r="X89" s="6">
        <f>'WEB CONSOLIDADO'!X93-'WEB RENOVABLES'!X84</f>
        <v>445.96600000000001</v>
      </c>
      <c r="Y89" s="6">
        <f>'WEB CONSOLIDADO'!Y93-'WEB RENOVABLES'!Y84</f>
        <v>438.74125000000004</v>
      </c>
      <c r="Z89" s="6">
        <f>'WEB CONSOLIDADO'!Z93-'WEB RENOVABLES'!Z84</f>
        <v>414.69750000000005</v>
      </c>
      <c r="AA89" s="6">
        <f>'WEB CONSOLIDADO'!AA93-'WEB RENOVABLES'!AA84</f>
        <v>371.83299999999997</v>
      </c>
      <c r="AB89" s="7">
        <f>'WEB CONSOLIDADO'!AB93-'WEB RENOVABLES'!AB84</f>
        <v>371.83299999999997</v>
      </c>
      <c r="AC89" s="6">
        <f>'WEB CONSOLIDADO'!AC93-'WEB RENOVABLES'!AC84</f>
        <v>326.84500000000003</v>
      </c>
      <c r="AD89" s="6">
        <f>'WEB CONSOLIDADO'!AD93-'WEB RENOVABLES'!AD84</f>
        <v>322.60599999999994</v>
      </c>
      <c r="AE89" s="6">
        <f>'WEB CONSOLIDADO'!AE93-'WEB RENOVABLES'!AE84</f>
        <v>310.47999999999996</v>
      </c>
      <c r="AF89" s="6">
        <f>'WEB CONSOLIDADO'!AF93-'WEB RENOVABLES'!AF84</f>
        <v>581.62900000000002</v>
      </c>
      <c r="AG89" s="7">
        <f>'WEB CONSOLIDADO'!AG93-'WEB RENOVABLES'!AG84</f>
        <v>581.62900000000002</v>
      </c>
      <c r="AH89" s="6">
        <f>'WEB CONSOLIDADO'!AH93-'WEB RENOVABLES'!AH84</f>
        <v>546.90300000000002</v>
      </c>
      <c r="AI89" s="6">
        <f>'WEB CONSOLIDADO'!AI93+200-'WEB RENOVABLES'!AI84</f>
        <v>544.19000000000005</v>
      </c>
      <c r="AJ89" s="6">
        <f>'WEB CONSOLIDADO'!AJ93+200-'WEB RENOVABLES'!AJ84</f>
        <v>557.16999999999996</v>
      </c>
      <c r="AK89" s="6">
        <f>'WEB CONSOLIDADO'!AK93+200-'WEB RENOVABLES'!AK84</f>
        <v>606.91899999999998</v>
      </c>
      <c r="AL89" s="7">
        <f>'WEB CONSOLIDADO'!AL93+200-'WEB RENOVABLES'!AL84</f>
        <v>606.91899999999998</v>
      </c>
      <c r="AM89" s="6">
        <f>'WEB CONSOLIDADO'!AM93+200-'WEB RENOVABLES'!AM84</f>
        <v>616.48900000000003</v>
      </c>
      <c r="AN89" s="6">
        <f>'WEB CONSOLIDADO'!AN93+200+-'WEB RENOVABLES'!AN84</f>
        <v>633.67248100000006</v>
      </c>
      <c r="AO89" s="6">
        <f>'WEB CONSOLIDADO'!AO93+200-'WEB RENOVABLES'!AO84</f>
        <v>624.69200000000001</v>
      </c>
      <c r="AP89" s="6">
        <f>'WEB CONSOLIDADO'!AP93-'WEB RENOVABLES'!AP84</f>
        <v>595.55799999999999</v>
      </c>
      <c r="AQ89" s="7">
        <f>'WEB CONSOLIDADO'!AQ93-'WEB RENOVABLES'!AQ84</f>
        <v>595.55799999999999</v>
      </c>
      <c r="AR89" s="6">
        <f>'WEB CONSOLIDADO'!AR93-'WEB RENOVABLES'!AR84</f>
        <v>526.572</v>
      </c>
      <c r="AS89" s="6">
        <f>'WEB CONSOLIDADO'!AS93-'WEB RENOVABLES'!AS84</f>
        <v>442.46300000000002</v>
      </c>
      <c r="AT89" s="6">
        <f>'WEB CONSOLIDADO'!AT93-'WEB RENOVABLES'!AT84</f>
        <v>421.11300000000006</v>
      </c>
      <c r="AU89" s="6">
        <v>421.91699999999997</v>
      </c>
      <c r="AV89" s="7">
        <v>421.91699999999997</v>
      </c>
      <c r="AW89" s="6">
        <f>'WEB CONSOLIDADO'!AW93-'WEB RENOVABLES'!AW84</f>
        <v>422.64599999999996</v>
      </c>
      <c r="AX89" s="6">
        <f>'WEB CONSOLIDADO'!AX93-'WEB RENOVABLES'!AX84</f>
        <v>460.57400000000001</v>
      </c>
      <c r="AY89" s="6">
        <f>'WEB CONSOLIDADO'!AY93-'WEB RENOVABLES'!AY84</f>
        <v>449.79199999999997</v>
      </c>
      <c r="AZ89" s="6">
        <f>'WEB CONSOLIDADO'!AZ93-'WEB RENOVABLES'!AZ84</f>
        <v>430.04899999999998</v>
      </c>
      <c r="BA89" s="158">
        <f>'WEB CONSOLIDADO'!BA93-'WEB RENOVABLES'!BA84</f>
        <v>430.04899999999998</v>
      </c>
      <c r="BB89" s="6">
        <f>'WEB CONSOLIDADO'!BB93-'WEB RENOVABLES'!BB84</f>
        <v>442.86500000000001</v>
      </c>
      <c r="BC89" s="6">
        <f>'WEB CONSOLIDADO'!BC93-'WEB RENOVABLES'!BC84</f>
        <v>443.67900741000005</v>
      </c>
      <c r="BD89" s="6">
        <f>'WEB CONSOLIDADO'!BD93-'WEB RENOVABLES'!BD84</f>
        <v>428.49900000000002</v>
      </c>
      <c r="BE89" s="6">
        <v>394.70899999999995</v>
      </c>
      <c r="BF89" s="158">
        <v>394.70899999999995</v>
      </c>
      <c r="BG89" s="6">
        <v>381.45699999999999</v>
      </c>
      <c r="BH89" s="6">
        <v>384.06899999999996</v>
      </c>
      <c r="BJ89" s="155"/>
    </row>
    <row r="90" spans="1:62" x14ac:dyDescent="0.4">
      <c r="A90" s="9" t="s">
        <v>188</v>
      </c>
      <c r="B90" s="9" t="s">
        <v>189</v>
      </c>
      <c r="C90" s="9"/>
      <c r="D90" s="6"/>
      <c r="E90" s="6"/>
      <c r="F90" s="6"/>
      <c r="G90" s="6"/>
      <c r="H90" s="7">
        <f>H89</f>
        <v>412.71799999999996</v>
      </c>
      <c r="I90" s="6">
        <f>AVERAGE(D89,E89,F89,H89,I89)</f>
        <v>406.68399999999997</v>
      </c>
      <c r="J90" s="6">
        <f>AVERAGE(E89,F89,G89,I89,J89)</f>
        <v>401.17999999999995</v>
      </c>
      <c r="K90" s="6">
        <f>AVERAGE(F89,G89,I89,J89,K89)</f>
        <v>400.81666666666661</v>
      </c>
      <c r="L90" s="6">
        <f>AVERAGE(G89,I89,J89,K89,L89)</f>
        <v>400.42874999999998</v>
      </c>
      <c r="M90" s="7">
        <f>AVERAGE(H89:L89)</f>
        <v>402.88659999999999</v>
      </c>
      <c r="N90" s="6">
        <f>AVERAGE(I89,J89,K89,L89,N89)</f>
        <v>403.38199999999995</v>
      </c>
      <c r="O90" s="6">
        <f>AVERAGE(J89,K89,L89,N89,O89)</f>
        <v>413.63400000000001</v>
      </c>
      <c r="P90" s="6">
        <f>AVERAGE(K89,L89,N89,O89,P89)</f>
        <v>426.14940000000007</v>
      </c>
      <c r="Q90" s="6">
        <f>AVERAGE(L89,N89,O89,P89,Q89)</f>
        <v>442.11820000000006</v>
      </c>
      <c r="R90" s="7">
        <f>AVERAGE(L89,N89,O89,P89,Q89)</f>
        <v>442.11820000000006</v>
      </c>
      <c r="S90" s="6">
        <f>AVERAGE(N89,O89,P89,Q89,S89)</f>
        <v>463.23400000000004</v>
      </c>
      <c r="T90" s="6">
        <f>AVERAGE(O89,P89,Q89,S89,T89)</f>
        <v>482.18960000000004</v>
      </c>
      <c r="U90" s="6">
        <f>AVERAGE(P89,Q89,S89,T89,U89)</f>
        <v>495.53500000000003</v>
      </c>
      <c r="V90" s="6">
        <f>AVERAGE(Q89,S89,T89,U89,V89)</f>
        <v>491.84180000000003</v>
      </c>
      <c r="W90" s="7">
        <f>AVERAGE(Q89,S89,T89,U89,V89)</f>
        <v>491.84180000000003</v>
      </c>
      <c r="X90" s="6">
        <f>AVERAGE(S89,T89,U89,V89,X89)</f>
        <v>485.04820000000001</v>
      </c>
      <c r="Y90" s="6">
        <f>AVERAGE(T89,U89,V89,X89,Y89)</f>
        <v>471.82765000000001</v>
      </c>
      <c r="Z90" s="6">
        <f>AVERAGE(U89,V89,X89,Y89,Z89)</f>
        <v>452.77255000000002</v>
      </c>
      <c r="AA90" s="6">
        <f>AVERAGE(V89,X89,Y89,Z89,AA89)</f>
        <v>423.41175000000004</v>
      </c>
      <c r="AB90" s="7">
        <f>AVERAGE(V89,X89,Y89,Z89,AA89)</f>
        <v>423.41175000000004</v>
      </c>
      <c r="AC90" s="6">
        <f>AVERAGE(X89,Y89,Z89,AA89,AC89)</f>
        <v>399.61655000000007</v>
      </c>
      <c r="AD90" s="6">
        <f>AVERAGE(Y89,Z89,AA89,AC89,AD89)</f>
        <v>374.94454999999999</v>
      </c>
      <c r="AE90" s="6">
        <f>AVERAGE(Z89,AA89,AC89,AD89,AE89)</f>
        <v>349.29230000000001</v>
      </c>
      <c r="AF90" s="6">
        <f>AVERAGE(AA89,AC89,AD89,AE89,AF89)</f>
        <v>382.67860000000002</v>
      </c>
      <c r="AG90" s="7">
        <f>AVERAGE(AA89,AC89,AD89,AE89,AF89)</f>
        <v>382.67860000000002</v>
      </c>
      <c r="AH90" s="6">
        <f>AVERAGE(AC89,AD89,AE89,AF89,AH89)</f>
        <v>417.69259999999997</v>
      </c>
      <c r="AI90" s="6">
        <f>AVERAGE(AD89,AE89,AF89,AH89,AI89)</f>
        <v>461.16160000000002</v>
      </c>
      <c r="AJ90" s="6">
        <f>AVERAGE(AE89,AF89,AH89,AI89,AJ89)</f>
        <v>508.07439999999997</v>
      </c>
      <c r="AK90" s="6">
        <f>AVERAGE(AF89,AH89,AI89,AJ89,AK89)</f>
        <v>567.36220000000003</v>
      </c>
      <c r="AL90" s="7">
        <f>AVERAGE(AF89,AH89,AI89,AJ89,AK89)</f>
        <v>567.36220000000003</v>
      </c>
      <c r="AM90" s="6">
        <f>AVERAGE(AH89,AI89,AJ89,AK89,AM89)</f>
        <v>574.33420000000001</v>
      </c>
      <c r="AN90" s="6">
        <f>AVERAGE(AI89,AJ89,AK89,AM89,AN89)</f>
        <v>591.68809620000002</v>
      </c>
      <c r="AO90" s="6">
        <f>AVERAGE(AJ89,AK89,AM89,AN89,AO89)</f>
        <v>607.78849620000005</v>
      </c>
      <c r="AP90" s="6">
        <f>AVERAGE(AK89,AM89,AN89,AO89,AP89)</f>
        <v>615.46609620000004</v>
      </c>
      <c r="AQ90" s="7">
        <f>AVERAGE(AK89,AM89,AN89,AO89,AP89)</f>
        <v>615.46609620000004</v>
      </c>
      <c r="AR90" s="6">
        <f>AVERAGE(AM89,AN89,AO89,AP89,AR89)</f>
        <v>599.39669620000006</v>
      </c>
      <c r="AS90" s="6">
        <f>AVERAGE(AN89,AO89,AP89,AR89,AS89)</f>
        <v>564.59149620000005</v>
      </c>
      <c r="AT90" s="6">
        <f>AVERAGE(AO89,AP89,AR89,AS89,AT89)</f>
        <v>522.07960000000003</v>
      </c>
      <c r="AU90" s="6">
        <v>481.52460000000002</v>
      </c>
      <c r="AV90" s="7">
        <v>481.52460000000002</v>
      </c>
      <c r="AW90" s="6">
        <f>AVERAGE(AR89,AS89,AT89,AU89,AW89)</f>
        <v>446.94220000000007</v>
      </c>
      <c r="AX90" s="6">
        <f>AVERAGE(AS89,AT89,AU89,AW89,AX89)</f>
        <v>433.74259999999992</v>
      </c>
      <c r="AY90" s="6">
        <f>AVERAGE(AT89,AU89,AW89,AX89,AY89)</f>
        <v>435.20839999999998</v>
      </c>
      <c r="AZ90" s="6">
        <f>AVERAGE(AV89,AW89,AX89,AY89,AZ89)</f>
        <v>436.99560000000002</v>
      </c>
      <c r="BA90" s="7">
        <f>AZ90</f>
        <v>436.99560000000002</v>
      </c>
      <c r="BB90" s="6">
        <f>AVERAGE(AW89,AX89,AY89,AZ89,BB89)</f>
        <v>441.18520000000001</v>
      </c>
      <c r="BC90" s="6">
        <f>AVERAGE(AX89,AY89,AZ89,BB89,BC89)</f>
        <v>445.39180148200001</v>
      </c>
      <c r="BD90" s="6">
        <v>436.27300185250004</v>
      </c>
      <c r="BE90" s="6">
        <v>427.43800185249995</v>
      </c>
      <c r="BF90" s="158">
        <v>427.43800185249995</v>
      </c>
      <c r="BG90" s="6">
        <v>412.08600185249998</v>
      </c>
      <c r="BH90" s="6">
        <v>397.18349999999998</v>
      </c>
      <c r="BJ90" s="155"/>
    </row>
    <row r="91" spans="1:62" x14ac:dyDescent="0.4">
      <c r="A91" s="82" t="s">
        <v>190</v>
      </c>
      <c r="B91" s="82" t="s">
        <v>191</v>
      </c>
      <c r="D91" s="6"/>
      <c r="E91" s="6"/>
      <c r="F91" s="6"/>
      <c r="G91" s="6"/>
      <c r="H91" s="7">
        <f>H85</f>
        <v>181.32616897</v>
      </c>
      <c r="I91" s="6">
        <f>AVERAGE(D85,E85,F85,H85,I85)</f>
        <v>187.87866298606249</v>
      </c>
      <c r="J91" s="6">
        <f>AVERAGE(E85,F85,G85,I85,J85)</f>
        <v>203.0610088860625</v>
      </c>
      <c r="K91" s="6">
        <f>AVERAGE(F85,G85,I85,J85,K85)</f>
        <v>205.824735887375</v>
      </c>
      <c r="L91" s="6">
        <f>AVERAGE(G85,I85,J85,K85,L85)</f>
        <v>203.13821121053124</v>
      </c>
      <c r="M91" s="7">
        <f>AVERAGE(G85,I85,J85,K85,L85)</f>
        <v>203.13821121053124</v>
      </c>
      <c r="N91" s="6">
        <f>AVERAGE(I85,J85,K85,L85,N85)</f>
        <v>201.33936896842499</v>
      </c>
      <c r="O91" s="6">
        <f>AVERAGE(J85,K85,L85,N85,O85)</f>
        <v>195.24413756799999</v>
      </c>
      <c r="P91" s="6">
        <f>AVERAGE(K85,L85,N85,O85,P85)</f>
        <v>182.666965414</v>
      </c>
      <c r="Q91" s="6">
        <f>AVERAGE(L85,N85,O85,P85,Q85)</f>
        <v>164.41692743599998</v>
      </c>
      <c r="R91" s="7">
        <f>AVERAGE(L85,N85,O85,P85,Q85)</f>
        <v>164.41692743599998</v>
      </c>
      <c r="S91" s="6">
        <f>AVERAGE(N85,O85,P85,Q85,S85)</f>
        <v>145.06712750799997</v>
      </c>
      <c r="T91" s="6">
        <f>AVERAGE(O85,P85,Q85,S85,T85)</f>
        <v>123.14672750799998</v>
      </c>
      <c r="U91" s="6">
        <f>AVERAGE(P85,Q85,S85,T85,U85)</f>
        <v>102.39352750799999</v>
      </c>
      <c r="V91" s="6">
        <f>AVERAGE(Q85,S85,T85,U85,V85)</f>
        <v>102.16112750800001</v>
      </c>
      <c r="W91" s="7">
        <f>AVERAGE(Q85,S85,T85,U85,V85)</f>
        <v>102.16112750800001</v>
      </c>
      <c r="X91" s="6">
        <f>AVERAGE(S85,T85,U85,V85,X85)</f>
        <v>113.93552750799999</v>
      </c>
      <c r="Y91" s="6">
        <f>AVERAGE(T85,U85,V85,X85,Y85)</f>
        <v>140.90860000000004</v>
      </c>
      <c r="Z91" s="6">
        <f>AVERAGE(U85,V85,X85,Y85,Z85)</f>
        <v>178.46880000000002</v>
      </c>
      <c r="AA91" s="6">
        <f>AVERAGE(V85,X85,Y85,Z85,AA85)</f>
        <v>227.57280000000006</v>
      </c>
      <c r="AB91" s="7">
        <f>AVERAGE(V85,X85,Y85,Z85,AA85)</f>
        <v>227.57280000000006</v>
      </c>
      <c r="AC91" s="6">
        <f>AVERAGE(X85,Y85,Z85,AA85,AC85)</f>
        <v>263.23840000000001</v>
      </c>
      <c r="AD91" s="6">
        <f>AVERAGE(Y85,Z85,AA85,AC85,AD85)</f>
        <v>291.8648</v>
      </c>
      <c r="AE91" s="6">
        <f>AVERAGE(Z85,AA85,AC85,AD85,AE85)</f>
        <v>315.30919999999998</v>
      </c>
      <c r="AF91" s="6">
        <f>AVERAGE(AA85,AC85,AD85,AE85,AF85)</f>
        <v>269.51120000000003</v>
      </c>
      <c r="AG91" s="7">
        <f>AVERAGE(AA85,AC85,AD85,AE85,AF85)</f>
        <v>269.51120000000003</v>
      </c>
      <c r="AH91" s="6">
        <f>AVERAGE(AC85,AD85,AE85,AF85,AH85)</f>
        <v>223.31660000000002</v>
      </c>
      <c r="AI91" s="6">
        <f>AVERAGE(AD85,AE85,AF85,AH85,AI85)</f>
        <v>166.762</v>
      </c>
      <c r="AJ91" s="6">
        <f>AVERAGE(AE85,AF85,AH85,AI85,AJ85)</f>
        <v>105.9858</v>
      </c>
      <c r="AK91" s="6">
        <f>AVERAGE(AF85,AH85,AI85,AJ85,AK85)</f>
        <v>31.996199999999995</v>
      </c>
      <c r="AL91" s="7">
        <f>AVERAGE(AF85,AH85,AI85,AJ85,AK85)</f>
        <v>31.996199999999995</v>
      </c>
      <c r="AM91" s="6">
        <f>AVERAGE(AH85,AI85,AJ85,AK85,AM85)</f>
        <v>20.459199999999999</v>
      </c>
      <c r="AN91" s="6">
        <f>AVERAGE(AI85,AJ85,AK85,AM85,AN85)</f>
        <v>1.0062000000000026</v>
      </c>
      <c r="AO91" s="6">
        <f>AVERAGE(AJ85,AK85,AM85,AN85,AO85)</f>
        <v>-22.559000000000005</v>
      </c>
      <c r="AP91" s="6">
        <f>AVERAGE(AK85,AM85,AN85,AO85,AP85)</f>
        <v>-33.423000000000002</v>
      </c>
      <c r="AQ91" s="7">
        <f>AVERAGE(AK85,AM85,AN85,AO85,AP85)</f>
        <v>-33.423000000000002</v>
      </c>
      <c r="AR91" s="6">
        <f>AVERAGE(AM85,AN85,AO85,AP85,AR85)</f>
        <v>-15.056799999999999</v>
      </c>
      <c r="AS91" s="6">
        <f>AVERAGE(AN85,AO85,AP85,AR85,AS85)</f>
        <v>12.556999999999992</v>
      </c>
      <c r="AT91" s="6">
        <f>AVERAGE(AO85,AP85,AR85,AS85,AT85)</f>
        <v>55.150200000000005</v>
      </c>
      <c r="AU91" s="6">
        <v>107.30199999999999</v>
      </c>
      <c r="AV91" s="7">
        <v>107.30199999999999</v>
      </c>
      <c r="AW91" s="6">
        <f>AVERAGE(AR85,AS85,AT85,AU85,AW85)</f>
        <v>157.3116</v>
      </c>
      <c r="AX91" s="6">
        <f>AVERAGE(AS85,AT85,AU85,AW85,AX85)</f>
        <v>187.13180000000003</v>
      </c>
      <c r="AY91" s="6">
        <f>AVERAGE(AT85,AU85,AW85,AX85,AY85)</f>
        <v>202.4676</v>
      </c>
      <c r="AZ91" s="6">
        <f>AVERAGE(AV85,AW85,AX85,AY85,AZ85)</f>
        <v>212.89240000000001</v>
      </c>
      <c r="BA91" s="7">
        <f>AZ91</f>
        <v>212.89240000000001</v>
      </c>
      <c r="BB91" s="6">
        <f>AVERAGE(AW85,AX85,AY85,AZ85,BB85)</f>
        <v>225.1198</v>
      </c>
      <c r="BC91" s="6">
        <f>AVERAGE(AX85,AY85,AZ85,BB85,BC85)</f>
        <v>233.53299999999999</v>
      </c>
      <c r="BD91" s="6">
        <v>250.36699999999999</v>
      </c>
      <c r="BE91" s="6">
        <v>256.30674999999997</v>
      </c>
      <c r="BF91" s="158">
        <v>256.30674999999997</v>
      </c>
      <c r="BG91" s="6">
        <v>279.52833014999999</v>
      </c>
      <c r="BH91" s="6">
        <v>307.70662605499996</v>
      </c>
      <c r="BJ91" s="155"/>
    </row>
    <row r="92" spans="1:62" s="17" customFormat="1" x14ac:dyDescent="0.4">
      <c r="A92" s="47" t="s">
        <v>192</v>
      </c>
      <c r="B92" s="47" t="s">
        <v>183</v>
      </c>
      <c r="C92" s="21"/>
      <c r="D92" s="48"/>
      <c r="E92" s="48"/>
      <c r="F92" s="48"/>
      <c r="G92" s="48"/>
      <c r="H92" s="93">
        <f>H88/(H90+H91)</f>
        <v>0.181237327392058</v>
      </c>
      <c r="I92" s="94">
        <f>I88/(I90+I91)</f>
        <v>0.18608800118946001</v>
      </c>
      <c r="J92" s="94">
        <f>J88/(J90+J91)</f>
        <v>0.16104828388982836</v>
      </c>
      <c r="K92" s="94">
        <f>K88/(K90+K91)</f>
        <v>0.13996073657269906</v>
      </c>
      <c r="L92" s="94">
        <f>L88/(L90+L91)</f>
        <v>8.764561912716734E-2</v>
      </c>
      <c r="M92" s="93">
        <f t="shared" ref="M92:AT92" si="36">M88/(M90+M91)</f>
        <v>8.7290155487747351E-2</v>
      </c>
      <c r="N92" s="94">
        <f t="shared" si="36"/>
        <v>9.415079889953884E-2</v>
      </c>
      <c r="O92" s="94">
        <f t="shared" si="36"/>
        <v>0.12537319915099532</v>
      </c>
      <c r="P92" s="94">
        <f t="shared" si="36"/>
        <v>0.15644947378382298</v>
      </c>
      <c r="Q92" s="94">
        <f t="shared" si="36"/>
        <v>0.2001054753631013</v>
      </c>
      <c r="R92" s="93">
        <f t="shared" si="36"/>
        <v>0.20010547536310128</v>
      </c>
      <c r="S92" s="94">
        <f t="shared" si="36"/>
        <v>0.23793150046084133</v>
      </c>
      <c r="T92" s="94">
        <f t="shared" si="36"/>
        <v>0.26942708142333416</v>
      </c>
      <c r="U92" s="94">
        <f t="shared" si="36"/>
        <v>0.30314158241525757</v>
      </c>
      <c r="V92" s="94">
        <f t="shared" si="36"/>
        <v>0.30949510766093657</v>
      </c>
      <c r="W92" s="93">
        <f t="shared" si="36"/>
        <v>0.30949510766093663</v>
      </c>
      <c r="X92" s="94">
        <f t="shared" si="36"/>
        <v>0.27607594731827068</v>
      </c>
      <c r="Y92" s="94">
        <f t="shared" si="36"/>
        <v>0.21448380114608853</v>
      </c>
      <c r="Z92" s="94">
        <f t="shared" si="36"/>
        <v>0.12679936129025768</v>
      </c>
      <c r="AA92" s="94">
        <f t="shared" si="36"/>
        <v>1.5986554519611867E-2</v>
      </c>
      <c r="AB92" s="93">
        <f t="shared" si="36"/>
        <v>1.5986554519611867E-2</v>
      </c>
      <c r="AC92" s="94">
        <f t="shared" si="36"/>
        <v>-3.7273614687496855E-2</v>
      </c>
      <c r="AD92" s="94">
        <f t="shared" si="36"/>
        <v>-7.8370226812206525E-2</v>
      </c>
      <c r="AE92" s="94">
        <f t="shared" si="36"/>
        <v>-0.10583184058416961</v>
      </c>
      <c r="AF92" s="94">
        <f t="shared" si="36"/>
        <v>-8.8875968314745174E-2</v>
      </c>
      <c r="AG92" s="93">
        <f t="shared" si="36"/>
        <v>-8.8875968314745174E-2</v>
      </c>
      <c r="AH92" s="94">
        <f t="shared" si="36"/>
        <v>-8.7471443467582066E-2</v>
      </c>
      <c r="AI92" s="94">
        <f t="shared" si="36"/>
        <v>-3.7098462297005537E-2</v>
      </c>
      <c r="AJ92" s="94">
        <f t="shared" si="36"/>
        <v>1.731426332467078E-2</v>
      </c>
      <c r="AK92" s="94">
        <f t="shared" si="36"/>
        <v>4.2837474205750646E-2</v>
      </c>
      <c r="AL92" s="93">
        <f t="shared" si="36"/>
        <v>4.2837474205750646E-2</v>
      </c>
      <c r="AM92" s="94">
        <f t="shared" si="36"/>
        <v>7.5204264203335078E-2</v>
      </c>
      <c r="AN92" s="94">
        <f t="shared" si="36"/>
        <v>0.10580042426937727</v>
      </c>
      <c r="AO92" s="94">
        <f t="shared" si="36"/>
        <v>0.12698608064451139</v>
      </c>
      <c r="AP92" s="94">
        <f t="shared" si="36"/>
        <v>0.14487758818983473</v>
      </c>
      <c r="AQ92" s="93">
        <f t="shared" si="36"/>
        <v>0.14487758818983476</v>
      </c>
      <c r="AR92" s="94">
        <f t="shared" si="36"/>
        <v>0.14622996060285087</v>
      </c>
      <c r="AS92" s="94">
        <f t="shared" si="36"/>
        <v>6.1617923695804593E-2</v>
      </c>
      <c r="AT92" s="94">
        <f t="shared" si="36"/>
        <v>-2.3808542109225866E-2</v>
      </c>
      <c r="AU92" s="94">
        <v>-2.6352410030389253E-2</v>
      </c>
      <c r="AV92" s="93">
        <v>-2.6352410030389253E-2</v>
      </c>
      <c r="AW92" s="94">
        <f>AW88/(AW90+AW91)</f>
        <v>-2.4704850842477116E-2</v>
      </c>
      <c r="AX92" s="94">
        <f>AX88/(AX90+AX91)</f>
        <v>6.7303467496807753E-2</v>
      </c>
      <c r="AY92" s="94">
        <f>AY88/(AY90+AY91)</f>
        <v>0.13928389966064272</v>
      </c>
      <c r="AZ92" s="94">
        <f t="shared" ref="AZ92:BD92" si="37">AZ88/(AZ90+AZ91)</f>
        <v>0.11176387315968289</v>
      </c>
      <c r="BA92" s="93">
        <f t="shared" si="37"/>
        <v>0.11176387315968289</v>
      </c>
      <c r="BB92" s="94">
        <f t="shared" si="37"/>
        <v>0.11386977435258627</v>
      </c>
      <c r="BC92" s="94">
        <f t="shared" si="37"/>
        <v>5.3689303911762319E-2</v>
      </c>
      <c r="BD92" s="94">
        <f t="shared" si="37"/>
        <v>-1.3150996119710159E-3</v>
      </c>
      <c r="BE92" s="94">
        <v>-4.3962311840141842E-2</v>
      </c>
      <c r="BF92" s="200">
        <v>-4.3962311840141842E-2</v>
      </c>
      <c r="BG92" s="94">
        <v>-8.1315550296891068E-2</v>
      </c>
      <c r="BH92" s="94">
        <v>-7.3522096684833255E-2</v>
      </c>
      <c r="BJ92" s="155"/>
    </row>
    <row r="93" spans="1:62" x14ac:dyDescent="0.4"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33"/>
      <c r="W93" s="33"/>
      <c r="AB93" s="33"/>
      <c r="AG93" s="33"/>
      <c r="AL93" s="33"/>
      <c r="AQ93" s="33"/>
      <c r="AR93" s="17"/>
      <c r="AS93" s="17"/>
      <c r="AT93" s="17"/>
      <c r="AU93" s="17"/>
      <c r="AV93" s="33"/>
      <c r="AW93" s="17"/>
      <c r="AX93" s="17"/>
      <c r="AY93" s="17"/>
      <c r="AZ93" s="17"/>
      <c r="BA93" s="33"/>
      <c r="BB93" s="17"/>
      <c r="BC93" s="17"/>
      <c r="BD93" s="17"/>
    </row>
    <row r="94" spans="1:62" x14ac:dyDescent="0.4">
      <c r="A94"/>
      <c r="B94"/>
      <c r="C94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</row>
    <row r="95" spans="1:62" x14ac:dyDescent="0.4">
      <c r="A95"/>
      <c r="B95"/>
      <c r="C95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</row>
    <row r="96" spans="1:62" x14ac:dyDescent="0.4">
      <c r="A96"/>
      <c r="B96"/>
      <c r="C96"/>
      <c r="D96" s="17"/>
      <c r="E96" s="17"/>
      <c r="F96" s="17"/>
      <c r="G96" s="17"/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  <c r="X96" s="155"/>
      <c r="Y96" s="155"/>
      <c r="Z96" s="155"/>
      <c r="AA96" s="155"/>
      <c r="AB96" s="155"/>
      <c r="AC96" s="155"/>
      <c r="AD96" s="155"/>
      <c r="AE96" s="155"/>
      <c r="AF96" s="155"/>
      <c r="AG96" s="155"/>
      <c r="AH96" s="155"/>
      <c r="AI96" s="155"/>
      <c r="AJ96" s="155"/>
      <c r="AK96" s="155"/>
      <c r="AL96" s="155"/>
      <c r="AM96" s="155"/>
      <c r="AN96" s="155"/>
      <c r="AO96" s="155"/>
      <c r="AP96" s="155"/>
      <c r="AQ96" s="155"/>
      <c r="AR96" s="155"/>
      <c r="AS96" s="155"/>
      <c r="AT96" s="155"/>
      <c r="AU96" s="155"/>
      <c r="AV96" s="155"/>
      <c r="AW96" s="155"/>
      <c r="AX96" s="155"/>
      <c r="AY96" s="155"/>
      <c r="AZ96" s="155"/>
      <c r="BA96" s="155"/>
      <c r="BB96" s="155"/>
      <c r="BC96" s="155"/>
      <c r="BD96" s="155"/>
      <c r="BE96" s="155"/>
      <c r="BF96" s="155"/>
      <c r="BG96" s="155"/>
      <c r="BH96" s="155"/>
    </row>
    <row r="97" spans="1:60" x14ac:dyDescent="0.4">
      <c r="A97"/>
      <c r="B97"/>
      <c r="C97"/>
      <c r="D97" s="17"/>
      <c r="E97" s="17"/>
      <c r="F97" s="17"/>
      <c r="G97" s="17"/>
      <c r="H97" s="213"/>
      <c r="I97" s="213"/>
      <c r="J97" s="213"/>
      <c r="K97" s="213"/>
      <c r="L97" s="213"/>
      <c r="M97" s="213"/>
      <c r="N97" s="213"/>
      <c r="O97" s="213"/>
      <c r="P97" s="213"/>
      <c r="Q97" s="213"/>
      <c r="R97" s="213"/>
      <c r="S97" s="213"/>
      <c r="T97" s="213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  <c r="AF97" s="213"/>
      <c r="AG97" s="213"/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213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213"/>
      <c r="BF97" s="213"/>
      <c r="BG97" s="213"/>
      <c r="BH97" s="213"/>
    </row>
    <row r="98" spans="1:60" x14ac:dyDescent="0.4">
      <c r="A98"/>
      <c r="B98"/>
      <c r="C98"/>
      <c r="D98" s="17"/>
      <c r="E98" s="17"/>
      <c r="F98" s="17"/>
      <c r="G98" s="1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  <c r="BH98" s="67"/>
    </row>
    <row r="99" spans="1:60" x14ac:dyDescent="0.4">
      <c r="A99"/>
      <c r="B99"/>
      <c r="C99"/>
      <c r="D99" s="17"/>
      <c r="E99" s="17"/>
      <c r="F99" s="17"/>
      <c r="G99" s="17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5"/>
      <c r="X99" s="155"/>
      <c r="Y99" s="155"/>
      <c r="Z99" s="155"/>
      <c r="AA99" s="155"/>
      <c r="AB99" s="155"/>
      <c r="AC99" s="155"/>
      <c r="AD99" s="155"/>
      <c r="AE99" s="155"/>
      <c r="AF99" s="155"/>
      <c r="AG99" s="155"/>
      <c r="AH99" s="155"/>
      <c r="AI99" s="155"/>
      <c r="AJ99" s="155"/>
      <c r="AK99" s="155"/>
      <c r="AL99" s="155"/>
      <c r="AM99" s="155"/>
      <c r="AN99" s="155"/>
      <c r="AO99" s="155"/>
      <c r="AP99" s="155"/>
      <c r="AQ99" s="155"/>
      <c r="AR99" s="155"/>
      <c r="AS99" s="155"/>
      <c r="AT99" s="155"/>
      <c r="AU99" s="155"/>
      <c r="AV99" s="155"/>
      <c r="AW99" s="155"/>
      <c r="AX99" s="155"/>
      <c r="AY99" s="155"/>
      <c r="AZ99" s="155"/>
      <c r="BA99" s="155"/>
      <c r="BB99" s="155"/>
      <c r="BC99" s="155"/>
      <c r="BD99" s="155"/>
      <c r="BE99" s="155"/>
      <c r="BF99" s="155"/>
      <c r="BG99" s="155"/>
      <c r="BH99" s="155"/>
    </row>
    <row r="100" spans="1:60" x14ac:dyDescent="0.4">
      <c r="A100"/>
      <c r="B100"/>
      <c r="C100"/>
      <c r="D100" s="17"/>
      <c r="E100" s="17"/>
      <c r="F100" s="17"/>
      <c r="G100" s="17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155"/>
      <c r="AA100" s="155"/>
      <c r="AB100" s="155"/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5"/>
      <c r="AO100" s="155"/>
      <c r="AP100" s="155"/>
      <c r="AQ100" s="155"/>
      <c r="AR100" s="155"/>
      <c r="AS100" s="155"/>
      <c r="AT100" s="155"/>
      <c r="AU100" s="155"/>
      <c r="AV100" s="155"/>
      <c r="AW100" s="155"/>
      <c r="AX100" s="155"/>
      <c r="AY100" s="155"/>
      <c r="AZ100" s="155"/>
      <c r="BA100" s="155"/>
      <c r="BB100" s="155"/>
      <c r="BC100" s="155"/>
      <c r="BD100" s="155"/>
      <c r="BE100" s="155"/>
      <c r="BF100" s="155"/>
      <c r="BG100" s="155"/>
      <c r="BH100" s="155"/>
    </row>
    <row r="101" spans="1:60" x14ac:dyDescent="0.4">
      <c r="A101"/>
      <c r="B101"/>
      <c r="C101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</row>
    <row r="102" spans="1:60" x14ac:dyDescent="0.4">
      <c r="A102"/>
      <c r="B102"/>
      <c r="C102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</row>
    <row r="103" spans="1:60" x14ac:dyDescent="0.4">
      <c r="A103"/>
      <c r="B103"/>
      <c r="C103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</row>
    <row r="104" spans="1:60" x14ac:dyDescent="0.4">
      <c r="A104"/>
      <c r="B104"/>
      <c r="C104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</row>
    <row r="105" spans="1:60" x14ac:dyDescent="0.4">
      <c r="A105"/>
      <c r="B105"/>
      <c r="C105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</row>
    <row r="106" spans="1:60" x14ac:dyDescent="0.4">
      <c r="A106"/>
      <c r="B106"/>
      <c r="C106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</row>
    <row r="107" spans="1:60" x14ac:dyDescent="0.4">
      <c r="A107"/>
      <c r="B107"/>
      <c r="C10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</row>
    <row r="108" spans="1:60" x14ac:dyDescent="0.4">
      <c r="A108"/>
      <c r="B108"/>
      <c r="C108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</row>
    <row r="109" spans="1:60" x14ac:dyDescent="0.4">
      <c r="A109"/>
      <c r="B109"/>
      <c r="C109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</row>
    <row r="110" spans="1:60" x14ac:dyDescent="0.4">
      <c r="A110"/>
      <c r="B110"/>
      <c r="C110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</row>
    <row r="111" spans="1:60" x14ac:dyDescent="0.4">
      <c r="A111"/>
      <c r="B111"/>
      <c r="C111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</row>
    <row r="112" spans="1:60" x14ac:dyDescent="0.4">
      <c r="A112"/>
      <c r="B112"/>
      <c r="C112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</row>
    <row r="113" spans="1:56" x14ac:dyDescent="0.4">
      <c r="A113"/>
      <c r="B113"/>
      <c r="C113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</row>
    <row r="114" spans="1:56" x14ac:dyDescent="0.4">
      <c r="A114"/>
      <c r="B114"/>
      <c r="C114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</row>
    <row r="115" spans="1:56" x14ac:dyDescent="0.4">
      <c r="A115"/>
      <c r="B115"/>
      <c r="C115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</row>
    <row r="116" spans="1:56" x14ac:dyDescent="0.4">
      <c r="A116"/>
      <c r="B116"/>
      <c r="C116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</row>
    <row r="117" spans="1:56" x14ac:dyDescent="0.4">
      <c r="A117"/>
      <c r="B117"/>
      <c r="C1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</row>
    <row r="118" spans="1:56" x14ac:dyDescent="0.4">
      <c r="A118"/>
      <c r="B118"/>
      <c r="C118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</row>
    <row r="119" spans="1:56" x14ac:dyDescent="0.4">
      <c r="A119"/>
      <c r="B119"/>
      <c r="C119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</row>
    <row r="120" spans="1:56" x14ac:dyDescent="0.4">
      <c r="A120"/>
      <c r="B120"/>
      <c r="C120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</row>
    <row r="121" spans="1:56" x14ac:dyDescent="0.4">
      <c r="A121"/>
      <c r="B121"/>
      <c r="C121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</row>
    <row r="122" spans="1:56" x14ac:dyDescent="0.4">
      <c r="A122"/>
      <c r="B122"/>
      <c r="C122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</row>
    <row r="123" spans="1:56" x14ac:dyDescent="0.4">
      <c r="A123"/>
      <c r="B123"/>
      <c r="C123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</row>
    <row r="124" spans="1:56" x14ac:dyDescent="0.4">
      <c r="A124"/>
      <c r="B124"/>
      <c r="C124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</row>
    <row r="125" spans="1:56" x14ac:dyDescent="0.4">
      <c r="A125"/>
      <c r="B125"/>
      <c r="C125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</row>
    <row r="126" spans="1:56" x14ac:dyDescent="0.4">
      <c r="A126"/>
      <c r="B126"/>
      <c r="C126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</row>
    <row r="127" spans="1:56" x14ac:dyDescent="0.4">
      <c r="A127"/>
      <c r="B127"/>
      <c r="C12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</row>
    <row r="128" spans="1:56" x14ac:dyDescent="0.4">
      <c r="A128"/>
      <c r="B128"/>
      <c r="C128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</row>
    <row r="129" spans="1:56" x14ac:dyDescent="0.4">
      <c r="A129"/>
      <c r="B129"/>
      <c r="C129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</row>
    <row r="130" spans="1:56" x14ac:dyDescent="0.4">
      <c r="A130"/>
      <c r="B130"/>
      <c r="C130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</row>
    <row r="131" spans="1:56" x14ac:dyDescent="0.4">
      <c r="A131"/>
      <c r="B131"/>
      <c r="C131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</row>
    <row r="132" spans="1:56" x14ac:dyDescent="0.4">
      <c r="A132"/>
      <c r="B132"/>
      <c r="C132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</row>
    <row r="133" spans="1:56" x14ac:dyDescent="0.4">
      <c r="A133"/>
      <c r="B133"/>
      <c r="C133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</row>
    <row r="134" spans="1:56" x14ac:dyDescent="0.4">
      <c r="A134"/>
      <c r="B134"/>
      <c r="C134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</row>
    <row r="135" spans="1:56" x14ac:dyDescent="0.4">
      <c r="A135"/>
      <c r="B135"/>
      <c r="C135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</row>
    <row r="136" spans="1:56" x14ac:dyDescent="0.4">
      <c r="A136"/>
      <c r="B136"/>
      <c r="C136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</row>
    <row r="137" spans="1:56" x14ac:dyDescent="0.4">
      <c r="A137"/>
      <c r="B137"/>
      <c r="C13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</row>
    <row r="138" spans="1:56" x14ac:dyDescent="0.4">
      <c r="A138"/>
      <c r="B138"/>
      <c r="C138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</row>
    <row r="139" spans="1:56" x14ac:dyDescent="0.4">
      <c r="A139"/>
      <c r="B139"/>
      <c r="C139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</row>
    <row r="140" spans="1:56" x14ac:dyDescent="0.4">
      <c r="A140"/>
      <c r="B140"/>
      <c r="C140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</row>
    <row r="141" spans="1:56" x14ac:dyDescent="0.4">
      <c r="A141"/>
      <c r="B141"/>
      <c r="C141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</row>
    <row r="142" spans="1:56" x14ac:dyDescent="0.4">
      <c r="A142"/>
      <c r="B142"/>
      <c r="C142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</row>
    <row r="143" spans="1:56" x14ac:dyDescent="0.4">
      <c r="A143"/>
      <c r="B143"/>
      <c r="C143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</row>
    <row r="144" spans="1:56" x14ac:dyDescent="0.4">
      <c r="A144"/>
      <c r="B144"/>
      <c r="C144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</row>
    <row r="145" spans="1:56" x14ac:dyDescent="0.4">
      <c r="A145"/>
      <c r="B145"/>
      <c r="C145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</row>
    <row r="146" spans="1:56" x14ac:dyDescent="0.4">
      <c r="A146"/>
      <c r="B146"/>
      <c r="C146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</row>
    <row r="147" spans="1:56" x14ac:dyDescent="0.4">
      <c r="A147"/>
      <c r="B147"/>
      <c r="C14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</row>
    <row r="148" spans="1:56" x14ac:dyDescent="0.4">
      <c r="A148"/>
      <c r="B148"/>
      <c r="C148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</row>
    <row r="149" spans="1:56" x14ac:dyDescent="0.4">
      <c r="A149"/>
      <c r="B149"/>
      <c r="C149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</row>
    <row r="150" spans="1:56" x14ac:dyDescent="0.4">
      <c r="A150"/>
      <c r="B150"/>
      <c r="C150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</row>
    <row r="151" spans="1:56" x14ac:dyDescent="0.4">
      <c r="A151"/>
      <c r="B151"/>
      <c r="C151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</row>
    <row r="152" spans="1:56" x14ac:dyDescent="0.4">
      <c r="A152"/>
      <c r="B152"/>
      <c r="C152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</row>
    <row r="153" spans="1:56" x14ac:dyDescent="0.4">
      <c r="A153"/>
      <c r="B153"/>
      <c r="C153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</row>
    <row r="154" spans="1:56" x14ac:dyDescent="0.4">
      <c r="A154"/>
      <c r="B154"/>
      <c r="C154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</row>
    <row r="155" spans="1:56" x14ac:dyDescent="0.4">
      <c r="A155"/>
      <c r="B155"/>
      <c r="C155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</row>
    <row r="156" spans="1:56" x14ac:dyDescent="0.4">
      <c r="A156"/>
      <c r="B156"/>
      <c r="C156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</row>
    <row r="157" spans="1:56" x14ac:dyDescent="0.4">
      <c r="A157"/>
      <c r="B157"/>
      <c r="C15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</row>
    <row r="158" spans="1:56" x14ac:dyDescent="0.4">
      <c r="A158"/>
      <c r="B158"/>
      <c r="C158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</row>
    <row r="159" spans="1:56" x14ac:dyDescent="0.4">
      <c r="A159"/>
      <c r="B159"/>
      <c r="C159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</row>
    <row r="160" spans="1:56" x14ac:dyDescent="0.4">
      <c r="A160"/>
      <c r="B160"/>
      <c r="C160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</row>
    <row r="161" spans="1:56" x14ac:dyDescent="0.4">
      <c r="A161"/>
      <c r="B161"/>
      <c r="C161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</row>
    <row r="162" spans="1:56" x14ac:dyDescent="0.4">
      <c r="A162"/>
      <c r="B162"/>
      <c r="C162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</row>
    <row r="163" spans="1:56" x14ac:dyDescent="0.4">
      <c r="A163"/>
      <c r="B163"/>
      <c r="C163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</row>
    <row r="164" spans="1:56" x14ac:dyDescent="0.4">
      <c r="A164"/>
      <c r="B164"/>
      <c r="C164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</row>
    <row r="165" spans="1:56" x14ac:dyDescent="0.4">
      <c r="A165"/>
      <c r="B165"/>
      <c r="C165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</row>
    <row r="166" spans="1:56" x14ac:dyDescent="0.4">
      <c r="A166"/>
      <c r="B166"/>
      <c r="C166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</row>
    <row r="167" spans="1:56" x14ac:dyDescent="0.4">
      <c r="A167"/>
      <c r="B167"/>
      <c r="C16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</row>
    <row r="168" spans="1:56" x14ac:dyDescent="0.4">
      <c r="A168"/>
      <c r="B168"/>
      <c r="C168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</row>
    <row r="169" spans="1:56" x14ac:dyDescent="0.4">
      <c r="A169"/>
      <c r="B169"/>
      <c r="C169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</row>
    <row r="170" spans="1:56" x14ac:dyDescent="0.4">
      <c r="A170"/>
      <c r="B170"/>
      <c r="C170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</row>
    <row r="171" spans="1:56" x14ac:dyDescent="0.4">
      <c r="A171"/>
      <c r="B171"/>
      <c r="C171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</row>
    <row r="172" spans="1:56" x14ac:dyDescent="0.4">
      <c r="A172"/>
      <c r="B172"/>
      <c r="C172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</row>
    <row r="173" spans="1:56" x14ac:dyDescent="0.4">
      <c r="A173"/>
      <c r="B173"/>
      <c r="C173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</row>
    <row r="174" spans="1:56" x14ac:dyDescent="0.4">
      <c r="A174"/>
      <c r="B174"/>
      <c r="C174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</row>
    <row r="175" spans="1:56" x14ac:dyDescent="0.4">
      <c r="A175"/>
      <c r="B175"/>
      <c r="C175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</row>
    <row r="176" spans="1:56" x14ac:dyDescent="0.4">
      <c r="A176"/>
      <c r="B176"/>
      <c r="C176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</row>
    <row r="177" spans="1:56" x14ac:dyDescent="0.4">
      <c r="A177"/>
      <c r="B177"/>
      <c r="C17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</row>
    <row r="178" spans="1:56" x14ac:dyDescent="0.4">
      <c r="A178"/>
      <c r="B178"/>
      <c r="C178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</row>
    <row r="179" spans="1:56" x14ac:dyDescent="0.4">
      <c r="A179"/>
      <c r="B179"/>
      <c r="C179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</row>
    <row r="180" spans="1:56" x14ac:dyDescent="0.4">
      <c r="A180"/>
      <c r="B180"/>
      <c r="C180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</row>
    <row r="181" spans="1:56" x14ac:dyDescent="0.4">
      <c r="A181"/>
      <c r="B181"/>
      <c r="C181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</row>
    <row r="182" spans="1:56" x14ac:dyDescent="0.4">
      <c r="A182"/>
      <c r="B182"/>
      <c r="C182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</row>
    <row r="183" spans="1:56" x14ac:dyDescent="0.4">
      <c r="A183"/>
      <c r="B183"/>
      <c r="C183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</row>
    <row r="184" spans="1:56" x14ac:dyDescent="0.4">
      <c r="A184"/>
      <c r="B184"/>
      <c r="C184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</row>
    <row r="185" spans="1:56" x14ac:dyDescent="0.4">
      <c r="A185"/>
      <c r="B185"/>
      <c r="C185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</row>
    <row r="186" spans="1:56" x14ac:dyDescent="0.4">
      <c r="A186"/>
      <c r="B186"/>
      <c r="C186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</row>
    <row r="187" spans="1:56" x14ac:dyDescent="0.4">
      <c r="A187"/>
      <c r="B187"/>
      <c r="C18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</row>
    <row r="188" spans="1:56" x14ac:dyDescent="0.4">
      <c r="A188"/>
      <c r="B188"/>
      <c r="C188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</row>
    <row r="189" spans="1:56" x14ac:dyDescent="0.4">
      <c r="A189"/>
      <c r="B189"/>
      <c r="C189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</row>
    <row r="190" spans="1:56" x14ac:dyDescent="0.4">
      <c r="A190"/>
      <c r="B190"/>
      <c r="C190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</row>
    <row r="191" spans="1:56" x14ac:dyDescent="0.4">
      <c r="A191"/>
      <c r="B191"/>
      <c r="C191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</row>
    <row r="192" spans="1:56" x14ac:dyDescent="0.4">
      <c r="A192"/>
      <c r="B192"/>
      <c r="C192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</row>
    <row r="193" spans="1:56" x14ac:dyDescent="0.4">
      <c r="A193"/>
      <c r="B193"/>
      <c r="C193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</row>
    <row r="194" spans="1:56" x14ac:dyDescent="0.4">
      <c r="A194"/>
      <c r="B194"/>
      <c r="C194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</row>
    <row r="195" spans="1:56" x14ac:dyDescent="0.4">
      <c r="A195"/>
      <c r="B195"/>
      <c r="C195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</row>
    <row r="196" spans="1:56" x14ac:dyDescent="0.4">
      <c r="A196"/>
      <c r="B196"/>
      <c r="C196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</row>
    <row r="197" spans="1:56" x14ac:dyDescent="0.4">
      <c r="A197"/>
      <c r="B197"/>
      <c r="C19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</row>
    <row r="198" spans="1:56" x14ac:dyDescent="0.4">
      <c r="A198"/>
      <c r="B198"/>
      <c r="C198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</row>
    <row r="199" spans="1:56" x14ac:dyDescent="0.4">
      <c r="A199"/>
      <c r="B199"/>
      <c r="C199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</row>
    <row r="200" spans="1:56" x14ac:dyDescent="0.4">
      <c r="A200"/>
      <c r="B200"/>
      <c r="C200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</row>
    <row r="201" spans="1:56" x14ac:dyDescent="0.4">
      <c r="A201"/>
      <c r="B201"/>
      <c r="C201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</row>
    <row r="202" spans="1:56" x14ac:dyDescent="0.4">
      <c r="A202"/>
      <c r="B202"/>
      <c r="C202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</row>
    <row r="203" spans="1:56" x14ac:dyDescent="0.4">
      <c r="A203"/>
      <c r="B203"/>
      <c r="C203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</row>
    <row r="204" spans="1:56" x14ac:dyDescent="0.4">
      <c r="A204"/>
      <c r="B204"/>
      <c r="C204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</row>
    <row r="205" spans="1:56" x14ac:dyDescent="0.4">
      <c r="A205"/>
      <c r="B205"/>
      <c r="C205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</row>
    <row r="206" spans="1:56" x14ac:dyDescent="0.4">
      <c r="A206"/>
      <c r="B206"/>
      <c r="C206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</row>
    <row r="207" spans="1:56" x14ac:dyDescent="0.4">
      <c r="A207"/>
      <c r="B207"/>
      <c r="C20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</row>
    <row r="208" spans="1:56" x14ac:dyDescent="0.4">
      <c r="A208"/>
      <c r="B208"/>
      <c r="C208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</row>
    <row r="209" spans="1:56" x14ac:dyDescent="0.4">
      <c r="A209"/>
      <c r="B209"/>
      <c r="C209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</row>
    <row r="210" spans="1:56" x14ac:dyDescent="0.4">
      <c r="A210"/>
      <c r="B210"/>
      <c r="C210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</row>
    <row r="211" spans="1:56" x14ac:dyDescent="0.4">
      <c r="A211"/>
      <c r="B211"/>
      <c r="C211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</row>
    <row r="212" spans="1:56" x14ac:dyDescent="0.4">
      <c r="A212"/>
      <c r="B212"/>
      <c r="C212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</row>
    <row r="213" spans="1:56" x14ac:dyDescent="0.4">
      <c r="A213"/>
      <c r="B213"/>
      <c r="C213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</row>
    <row r="214" spans="1:56" x14ac:dyDescent="0.4">
      <c r="A214"/>
      <c r="B214"/>
      <c r="C214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</row>
    <row r="215" spans="1:56" x14ac:dyDescent="0.4">
      <c r="A215"/>
      <c r="B215"/>
      <c r="C215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</row>
    <row r="216" spans="1:56" x14ac:dyDescent="0.4">
      <c r="A216"/>
      <c r="B216"/>
      <c r="C216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</row>
    <row r="217" spans="1:56" x14ac:dyDescent="0.4">
      <c r="A217"/>
      <c r="B217"/>
      <c r="C2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</row>
    <row r="218" spans="1:56" x14ac:dyDescent="0.4">
      <c r="A218"/>
      <c r="B218"/>
      <c r="C218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</row>
    <row r="219" spans="1:56" x14ac:dyDescent="0.4">
      <c r="A219"/>
      <c r="B219"/>
      <c r="C219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</row>
    <row r="220" spans="1:56" x14ac:dyDescent="0.4">
      <c r="A220"/>
      <c r="B220"/>
      <c r="C220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</row>
    <row r="221" spans="1:56" x14ac:dyDescent="0.4">
      <c r="A221"/>
      <c r="B221"/>
      <c r="C221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</row>
    <row r="222" spans="1:56" x14ac:dyDescent="0.4">
      <c r="A222"/>
      <c r="B222"/>
      <c r="C222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</row>
    <row r="223" spans="1:56" x14ac:dyDescent="0.4">
      <c r="A223"/>
      <c r="B223"/>
      <c r="C223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</row>
    <row r="224" spans="1:56" x14ac:dyDescent="0.4">
      <c r="A224"/>
      <c r="B224"/>
      <c r="C224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</row>
    <row r="225" spans="1:56" x14ac:dyDescent="0.4">
      <c r="A225"/>
      <c r="B225"/>
      <c r="C225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</row>
    <row r="226" spans="1:56" x14ac:dyDescent="0.4">
      <c r="A226"/>
      <c r="B226"/>
      <c r="C226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</row>
    <row r="227" spans="1:56" x14ac:dyDescent="0.4">
      <c r="A227"/>
      <c r="B227"/>
      <c r="C22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</row>
    <row r="228" spans="1:56" x14ac:dyDescent="0.4">
      <c r="A228"/>
      <c r="B228"/>
      <c r="C228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</row>
    <row r="229" spans="1:56" x14ac:dyDescent="0.4">
      <c r="A229"/>
      <c r="B229"/>
      <c r="C229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</row>
    <row r="230" spans="1:56" x14ac:dyDescent="0.4">
      <c r="A230"/>
      <c r="B230"/>
      <c r="C230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</row>
    <row r="231" spans="1:56" x14ac:dyDescent="0.4">
      <c r="A231"/>
      <c r="B231"/>
      <c r="C231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</row>
    <row r="232" spans="1:56" x14ac:dyDescent="0.4">
      <c r="A232"/>
      <c r="B232"/>
      <c r="C232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</row>
    <row r="233" spans="1:56" x14ac:dyDescent="0.4">
      <c r="A233"/>
      <c r="B233"/>
      <c r="C233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</row>
    <row r="234" spans="1:56" x14ac:dyDescent="0.4">
      <c r="A234"/>
      <c r="B234"/>
      <c r="C234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</row>
    <row r="235" spans="1:56" x14ac:dyDescent="0.4">
      <c r="A235"/>
      <c r="B235"/>
      <c r="C235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</row>
    <row r="236" spans="1:56" x14ac:dyDescent="0.4">
      <c r="A236"/>
      <c r="B236"/>
      <c r="C236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</row>
    <row r="237" spans="1:56" x14ac:dyDescent="0.4">
      <c r="A237"/>
      <c r="B237"/>
      <c r="C23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</row>
    <row r="238" spans="1:56" x14ac:dyDescent="0.4">
      <c r="A238"/>
      <c r="B238"/>
      <c r="C238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</row>
    <row r="239" spans="1:56" x14ac:dyDescent="0.4">
      <c r="A239"/>
      <c r="B239"/>
      <c r="C239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</row>
    <row r="240" spans="1:56" x14ac:dyDescent="0.4">
      <c r="A240"/>
      <c r="B240"/>
      <c r="C240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</row>
    <row r="241" spans="1:56" x14ac:dyDescent="0.4">
      <c r="A241"/>
      <c r="B241"/>
      <c r="C241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</row>
    <row r="242" spans="1:56" x14ac:dyDescent="0.4">
      <c r="A242"/>
      <c r="B242"/>
      <c r="C242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</row>
    <row r="243" spans="1:56" x14ac:dyDescent="0.4">
      <c r="A243"/>
      <c r="B243"/>
      <c r="C243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</row>
    <row r="244" spans="1:56" x14ac:dyDescent="0.4">
      <c r="A244"/>
      <c r="B244"/>
      <c r="C244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</row>
    <row r="245" spans="1:56" x14ac:dyDescent="0.4">
      <c r="A245"/>
      <c r="B245"/>
      <c r="C245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</row>
    <row r="246" spans="1:56" x14ac:dyDescent="0.4">
      <c r="A246"/>
      <c r="B246"/>
      <c r="C246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</row>
    <row r="247" spans="1:56" x14ac:dyDescent="0.4">
      <c r="A247"/>
      <c r="B247"/>
      <c r="C24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</row>
    <row r="248" spans="1:56" x14ac:dyDescent="0.4">
      <c r="A248"/>
      <c r="B248"/>
      <c r="C248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</row>
    <row r="249" spans="1:56" x14ac:dyDescent="0.4">
      <c r="A249"/>
      <c r="B249"/>
      <c r="C249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</row>
    <row r="250" spans="1:56" x14ac:dyDescent="0.4">
      <c r="A250"/>
      <c r="B250"/>
      <c r="C250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</row>
    <row r="251" spans="1:56" x14ac:dyDescent="0.4">
      <c r="A251"/>
      <c r="B251"/>
      <c r="C251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</row>
    <row r="252" spans="1:56" x14ac:dyDescent="0.4">
      <c r="A252"/>
      <c r="B252"/>
      <c r="C252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</row>
    <row r="253" spans="1:56" x14ac:dyDescent="0.4">
      <c r="A253"/>
      <c r="B253"/>
      <c r="C253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</row>
    <row r="254" spans="1:56" x14ac:dyDescent="0.4">
      <c r="A254"/>
      <c r="B254"/>
      <c r="C254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</row>
    <row r="255" spans="1:56" x14ac:dyDescent="0.4">
      <c r="A255"/>
      <c r="B255"/>
      <c r="C255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</row>
    <row r="256" spans="1:56" x14ac:dyDescent="0.4">
      <c r="A256"/>
      <c r="B256"/>
      <c r="C256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</row>
    <row r="257" spans="1:56" x14ac:dyDescent="0.4">
      <c r="A257"/>
      <c r="B257"/>
      <c r="C25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</row>
    <row r="258" spans="1:56" x14ac:dyDescent="0.4">
      <c r="A258"/>
      <c r="B258"/>
      <c r="C258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</row>
    <row r="259" spans="1:56" x14ac:dyDescent="0.4">
      <c r="A259"/>
      <c r="B259"/>
      <c r="C259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</row>
    <row r="260" spans="1:56" x14ac:dyDescent="0.4">
      <c r="A260"/>
      <c r="B260"/>
      <c r="C260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</row>
    <row r="261" spans="1:56" x14ac:dyDescent="0.4">
      <c r="A261"/>
      <c r="B261"/>
      <c r="C261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</row>
    <row r="262" spans="1:56" x14ac:dyDescent="0.4">
      <c r="A262"/>
      <c r="B262"/>
      <c r="C262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</row>
    <row r="263" spans="1:56" x14ac:dyDescent="0.4">
      <c r="A263"/>
      <c r="B263"/>
      <c r="C263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</row>
    <row r="264" spans="1:56" x14ac:dyDescent="0.4">
      <c r="A264"/>
      <c r="B264"/>
      <c r="C264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</row>
    <row r="265" spans="1:56" x14ac:dyDescent="0.4">
      <c r="A265"/>
      <c r="B265"/>
      <c r="C265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</row>
    <row r="266" spans="1:56" x14ac:dyDescent="0.4">
      <c r="A266"/>
      <c r="B266"/>
      <c r="C266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</row>
    <row r="267" spans="1:56" x14ac:dyDescent="0.4">
      <c r="A267"/>
      <c r="B267"/>
      <c r="C26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</row>
    <row r="268" spans="1:56" x14ac:dyDescent="0.4">
      <c r="A268"/>
      <c r="B268"/>
      <c r="C268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</row>
    <row r="269" spans="1:56" x14ac:dyDescent="0.4">
      <c r="A269"/>
      <c r="B269"/>
      <c r="C269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</row>
    <row r="270" spans="1:56" x14ac:dyDescent="0.4">
      <c r="A270"/>
      <c r="B270"/>
      <c r="C270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</row>
    <row r="271" spans="1:56" x14ac:dyDescent="0.4">
      <c r="A271"/>
      <c r="B271"/>
      <c r="C271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</row>
    <row r="272" spans="1:56" x14ac:dyDescent="0.4">
      <c r="A272"/>
      <c r="B272"/>
      <c r="C272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</row>
    <row r="273" spans="1:56" x14ac:dyDescent="0.4">
      <c r="A273"/>
      <c r="B273"/>
      <c r="C273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</row>
    <row r="274" spans="1:56" x14ac:dyDescent="0.4">
      <c r="A274"/>
      <c r="B274"/>
      <c r="C274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</row>
    <row r="275" spans="1:56" x14ac:dyDescent="0.4">
      <c r="A275"/>
      <c r="B275"/>
      <c r="C275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</row>
    <row r="276" spans="1:56" x14ac:dyDescent="0.4">
      <c r="A276"/>
      <c r="B276"/>
      <c r="C276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</row>
    <row r="277" spans="1:56" x14ac:dyDescent="0.4">
      <c r="A277"/>
      <c r="B277"/>
      <c r="C27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</row>
    <row r="278" spans="1:56" x14ac:dyDescent="0.4">
      <c r="A278"/>
      <c r="B278"/>
      <c r="C278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</row>
    <row r="279" spans="1:56" x14ac:dyDescent="0.4">
      <c r="A279"/>
      <c r="B279"/>
      <c r="C279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</row>
    <row r="280" spans="1:56" x14ac:dyDescent="0.4">
      <c r="A280"/>
      <c r="B280"/>
      <c r="C280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</row>
    <row r="281" spans="1:56" x14ac:dyDescent="0.4">
      <c r="A281"/>
      <c r="B281"/>
      <c r="C281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</row>
    <row r="282" spans="1:56" x14ac:dyDescent="0.4">
      <c r="A282"/>
      <c r="B282"/>
      <c r="C282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</row>
    <row r="283" spans="1:56" x14ac:dyDescent="0.4">
      <c r="A283"/>
      <c r="B283"/>
      <c r="C283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</row>
    <row r="284" spans="1:56" x14ac:dyDescent="0.4">
      <c r="A284"/>
      <c r="B284"/>
      <c r="C284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</row>
    <row r="285" spans="1:56" x14ac:dyDescent="0.4">
      <c r="A285"/>
      <c r="B285"/>
      <c r="C285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</row>
    <row r="286" spans="1:56" x14ac:dyDescent="0.4">
      <c r="A286"/>
      <c r="B286"/>
      <c r="C286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</row>
    <row r="287" spans="1:56" x14ac:dyDescent="0.4">
      <c r="A287"/>
      <c r="B287"/>
      <c r="C28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</row>
    <row r="288" spans="1:56" x14ac:dyDescent="0.4">
      <c r="A288"/>
      <c r="B288"/>
      <c r="C288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</row>
    <row r="289" spans="1:56" x14ac:dyDescent="0.4">
      <c r="A289"/>
      <c r="B289"/>
      <c r="C289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</row>
    <row r="290" spans="1:56" x14ac:dyDescent="0.4">
      <c r="A290"/>
      <c r="B290"/>
      <c r="C290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</row>
    <row r="291" spans="1:56" x14ac:dyDescent="0.4">
      <c r="A291"/>
      <c r="B291"/>
      <c r="C291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</row>
    <row r="292" spans="1:56" x14ac:dyDescent="0.4">
      <c r="A292"/>
      <c r="B292"/>
      <c r="C292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</row>
    <row r="293" spans="1:56" x14ac:dyDescent="0.4">
      <c r="A293"/>
      <c r="B293"/>
      <c r="C293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</row>
    <row r="294" spans="1:56" x14ac:dyDescent="0.4">
      <c r="A294"/>
      <c r="B294"/>
      <c r="C294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</row>
    <row r="295" spans="1:56" x14ac:dyDescent="0.4">
      <c r="A295"/>
      <c r="B295"/>
      <c r="C295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</row>
    <row r="296" spans="1:56" x14ac:dyDescent="0.4">
      <c r="A296"/>
      <c r="B296"/>
      <c r="C296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</row>
    <row r="297" spans="1:56" x14ac:dyDescent="0.4">
      <c r="A297"/>
      <c r="B297"/>
      <c r="C29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</row>
    <row r="298" spans="1:56" x14ac:dyDescent="0.4">
      <c r="A298"/>
      <c r="B298"/>
      <c r="C298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</row>
    <row r="299" spans="1:56" x14ac:dyDescent="0.4">
      <c r="A299"/>
      <c r="B299"/>
      <c r="C299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</row>
    <row r="300" spans="1:56" x14ac:dyDescent="0.4">
      <c r="A300"/>
      <c r="B300"/>
      <c r="C300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</row>
    <row r="301" spans="1:56" x14ac:dyDescent="0.4">
      <c r="A301"/>
      <c r="B301"/>
      <c r="C301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</row>
    <row r="302" spans="1:56" x14ac:dyDescent="0.4">
      <c r="A302"/>
      <c r="B302"/>
      <c r="C302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</row>
    <row r="303" spans="1:56" x14ac:dyDescent="0.4">
      <c r="A303"/>
      <c r="B303"/>
      <c r="C303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</row>
    <row r="304" spans="1:56" x14ac:dyDescent="0.4">
      <c r="A304"/>
      <c r="B304"/>
      <c r="C304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</row>
    <row r="305" spans="1:56" x14ac:dyDescent="0.4">
      <c r="A305"/>
      <c r="B305"/>
      <c r="C305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</row>
    <row r="306" spans="1:56" x14ac:dyDescent="0.4">
      <c r="A306"/>
      <c r="B306"/>
      <c r="C306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</row>
    <row r="307" spans="1:56" x14ac:dyDescent="0.4">
      <c r="A307"/>
      <c r="B307"/>
      <c r="C30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</row>
    <row r="308" spans="1:56" x14ac:dyDescent="0.4">
      <c r="A308"/>
      <c r="B308"/>
      <c r="C308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</row>
    <row r="309" spans="1:56" x14ac:dyDescent="0.4">
      <c r="A309"/>
      <c r="B309"/>
      <c r="C309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</row>
    <row r="310" spans="1:56" x14ac:dyDescent="0.4">
      <c r="A310"/>
      <c r="B310"/>
      <c r="C310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</row>
    <row r="311" spans="1:56" x14ac:dyDescent="0.4">
      <c r="A311"/>
      <c r="B311"/>
      <c r="C311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</row>
    <row r="312" spans="1:56" x14ac:dyDescent="0.4">
      <c r="A312"/>
      <c r="B312"/>
      <c r="C312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</row>
    <row r="313" spans="1:56" x14ac:dyDescent="0.4">
      <c r="A313"/>
      <c r="B313"/>
      <c r="C313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</row>
    <row r="314" spans="1:56" x14ac:dyDescent="0.4">
      <c r="A314"/>
      <c r="B314"/>
      <c r="C314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</row>
    <row r="315" spans="1:56" x14ac:dyDescent="0.4">
      <c r="A315"/>
      <c r="B315"/>
      <c r="C315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</row>
    <row r="316" spans="1:56" x14ac:dyDescent="0.4">
      <c r="A316"/>
      <c r="B316"/>
      <c r="C316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</row>
    <row r="317" spans="1:56" x14ac:dyDescent="0.4">
      <c r="A317"/>
      <c r="B317"/>
      <c r="C3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</row>
    <row r="318" spans="1:56" x14ac:dyDescent="0.4">
      <c r="A318"/>
      <c r="B318"/>
      <c r="C318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</row>
    <row r="319" spans="1:56" x14ac:dyDescent="0.4">
      <c r="A319"/>
      <c r="B319"/>
      <c r="C319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</row>
    <row r="320" spans="1:56" x14ac:dyDescent="0.4">
      <c r="A320"/>
      <c r="B320"/>
      <c r="C320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</row>
    <row r="321" spans="1:56" x14ac:dyDescent="0.4">
      <c r="A321"/>
      <c r="B321"/>
      <c r="C321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</row>
    <row r="322" spans="1:56" x14ac:dyDescent="0.4">
      <c r="A322"/>
      <c r="B322"/>
      <c r="C322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</row>
    <row r="323" spans="1:56" x14ac:dyDescent="0.4">
      <c r="A323"/>
      <c r="B323"/>
      <c r="C323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</row>
    <row r="324" spans="1:56" x14ac:dyDescent="0.4">
      <c r="A324"/>
      <c r="B324"/>
      <c r="C324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</row>
    <row r="325" spans="1:56" x14ac:dyDescent="0.4">
      <c r="A325"/>
      <c r="B325"/>
      <c r="C325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</row>
    <row r="326" spans="1:56" x14ac:dyDescent="0.4">
      <c r="A326"/>
      <c r="B326"/>
      <c r="C326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</row>
    <row r="327" spans="1:56" x14ac:dyDescent="0.4">
      <c r="A327"/>
      <c r="B327"/>
      <c r="C32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</row>
    <row r="328" spans="1:56" x14ac:dyDescent="0.4">
      <c r="A328"/>
      <c r="B328"/>
      <c r="C328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</row>
    <row r="329" spans="1:56" x14ac:dyDescent="0.4">
      <c r="A329"/>
      <c r="B329"/>
      <c r="C329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</row>
    <row r="330" spans="1:56" x14ac:dyDescent="0.4">
      <c r="A330"/>
      <c r="B330"/>
      <c r="C330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</row>
    <row r="331" spans="1:56" x14ac:dyDescent="0.4">
      <c r="A331"/>
      <c r="B331"/>
      <c r="C331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</row>
    <row r="332" spans="1:56" x14ac:dyDescent="0.4">
      <c r="A332"/>
      <c r="B332"/>
      <c r="C332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</row>
    <row r="333" spans="1:56" x14ac:dyDescent="0.4">
      <c r="A333"/>
      <c r="B333"/>
      <c r="C333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</row>
    <row r="334" spans="1:56" x14ac:dyDescent="0.4">
      <c r="A334"/>
      <c r="B334"/>
      <c r="C334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</row>
    <row r="335" spans="1:56" x14ac:dyDescent="0.4">
      <c r="A335"/>
      <c r="B335"/>
      <c r="C335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</row>
    <row r="336" spans="1:56" x14ac:dyDescent="0.4">
      <c r="A336"/>
      <c r="B336"/>
      <c r="C336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</row>
    <row r="337" spans="1:56" x14ac:dyDescent="0.4">
      <c r="A337"/>
      <c r="B337"/>
      <c r="C33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</row>
    <row r="338" spans="1:56" x14ac:dyDescent="0.4">
      <c r="A338"/>
      <c r="B338"/>
      <c r="C338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</row>
    <row r="339" spans="1:56" x14ac:dyDescent="0.4">
      <c r="A339"/>
      <c r="B339"/>
      <c r="C339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</row>
    <row r="340" spans="1:56" x14ac:dyDescent="0.4">
      <c r="A340"/>
      <c r="B340"/>
      <c r="C340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</row>
    <row r="341" spans="1:56" x14ac:dyDescent="0.4">
      <c r="A341"/>
      <c r="B341"/>
      <c r="C341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</row>
    <row r="342" spans="1:56" x14ac:dyDescent="0.4">
      <c r="A342"/>
      <c r="B342"/>
      <c r="C342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</row>
    <row r="343" spans="1:56" x14ac:dyDescent="0.4">
      <c r="A343"/>
      <c r="B343"/>
      <c r="C343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</row>
    <row r="344" spans="1:56" x14ac:dyDescent="0.4">
      <c r="A344"/>
      <c r="B344"/>
      <c r="C344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</row>
    <row r="345" spans="1:56" x14ac:dyDescent="0.4">
      <c r="A345"/>
      <c r="B345"/>
      <c r="C345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</row>
    <row r="346" spans="1:56" x14ac:dyDescent="0.4">
      <c r="A346"/>
      <c r="B346"/>
      <c r="C346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</row>
    <row r="347" spans="1:56" x14ac:dyDescent="0.4">
      <c r="A347"/>
      <c r="B347"/>
      <c r="C34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</row>
    <row r="348" spans="1:56" x14ac:dyDescent="0.4">
      <c r="A348"/>
      <c r="B348"/>
      <c r="C348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</row>
    <row r="349" spans="1:56" x14ac:dyDescent="0.4">
      <c r="A349"/>
      <c r="B349"/>
      <c r="C349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</row>
    <row r="350" spans="1:56" x14ac:dyDescent="0.4">
      <c r="A350"/>
      <c r="B350"/>
      <c r="C350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</row>
    <row r="351" spans="1:56" x14ac:dyDescent="0.4">
      <c r="A351"/>
      <c r="B351"/>
      <c r="C351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</row>
    <row r="352" spans="1:56" x14ac:dyDescent="0.4">
      <c r="A352"/>
      <c r="B352"/>
      <c r="C352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</row>
    <row r="353" spans="1:56" x14ac:dyDescent="0.4">
      <c r="A353"/>
      <c r="B353"/>
      <c r="C353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</row>
    <row r="354" spans="1:56" x14ac:dyDescent="0.4">
      <c r="A354"/>
      <c r="B354"/>
      <c r="C354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</row>
    <row r="355" spans="1:56" x14ac:dyDescent="0.4">
      <c r="A355"/>
      <c r="B355"/>
      <c r="C355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</row>
    <row r="356" spans="1:56" x14ac:dyDescent="0.4">
      <c r="A356"/>
      <c r="B356"/>
      <c r="C356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</row>
    <row r="357" spans="1:56" x14ac:dyDescent="0.4">
      <c r="A357"/>
      <c r="B357"/>
      <c r="C35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</row>
    <row r="358" spans="1:56" x14ac:dyDescent="0.4">
      <c r="A358"/>
      <c r="B358"/>
      <c r="C358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</row>
    <row r="359" spans="1:56" x14ac:dyDescent="0.4">
      <c r="A359"/>
      <c r="B359"/>
      <c r="C359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</row>
    <row r="360" spans="1:56" x14ac:dyDescent="0.4">
      <c r="A360"/>
      <c r="B360"/>
      <c r="C360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</row>
    <row r="361" spans="1:56" x14ac:dyDescent="0.4">
      <c r="A361"/>
      <c r="B361"/>
      <c r="C361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</row>
    <row r="362" spans="1:56" x14ac:dyDescent="0.4">
      <c r="A362"/>
      <c r="B362"/>
      <c r="C362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</row>
    <row r="363" spans="1:56" x14ac:dyDescent="0.4">
      <c r="A363"/>
      <c r="B363"/>
      <c r="C363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</row>
    <row r="364" spans="1:56" x14ac:dyDescent="0.4">
      <c r="A364"/>
      <c r="B364"/>
      <c r="C364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</row>
    <row r="365" spans="1:56" x14ac:dyDescent="0.4">
      <c r="A365"/>
      <c r="B365"/>
      <c r="C365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</row>
    <row r="366" spans="1:56" x14ac:dyDescent="0.4">
      <c r="A366"/>
      <c r="B366"/>
      <c r="C366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</row>
    <row r="367" spans="1:56" x14ac:dyDescent="0.4">
      <c r="A367"/>
      <c r="B367"/>
      <c r="C36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</row>
    <row r="368" spans="1:56" x14ac:dyDescent="0.4">
      <c r="A368"/>
      <c r="B368"/>
      <c r="C368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</row>
    <row r="369" spans="1:56" x14ac:dyDescent="0.4">
      <c r="A369"/>
      <c r="B369"/>
      <c r="C369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</row>
    <row r="370" spans="1:56" x14ac:dyDescent="0.4">
      <c r="A370"/>
      <c r="B370"/>
      <c r="C370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</row>
    <row r="371" spans="1:56" x14ac:dyDescent="0.4">
      <c r="A371"/>
      <c r="B371"/>
      <c r="C371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</row>
    <row r="372" spans="1:56" x14ac:dyDescent="0.4">
      <c r="A372"/>
      <c r="B372"/>
      <c r="C372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</row>
    <row r="373" spans="1:56" x14ac:dyDescent="0.4">
      <c r="A373"/>
      <c r="B373"/>
      <c r="C373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</row>
    <row r="374" spans="1:56" x14ac:dyDescent="0.4">
      <c r="A374"/>
      <c r="B374"/>
      <c r="C374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</row>
    <row r="375" spans="1:56" x14ac:dyDescent="0.4">
      <c r="A375"/>
      <c r="B375"/>
      <c r="C375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</row>
    <row r="376" spans="1:56" x14ac:dyDescent="0.4">
      <c r="A376"/>
      <c r="B376"/>
      <c r="C376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</row>
    <row r="377" spans="1:56" x14ac:dyDescent="0.4">
      <c r="A377"/>
      <c r="B377"/>
      <c r="C37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</row>
    <row r="378" spans="1:56" x14ac:dyDescent="0.4">
      <c r="A378"/>
      <c r="B378"/>
      <c r="C378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</row>
    <row r="379" spans="1:56" x14ac:dyDescent="0.4">
      <c r="A379"/>
      <c r="B379"/>
      <c r="C379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</row>
    <row r="380" spans="1:56" x14ac:dyDescent="0.4">
      <c r="A380"/>
      <c r="B380"/>
      <c r="C380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</row>
    <row r="381" spans="1:56" x14ac:dyDescent="0.4">
      <c r="A381"/>
      <c r="B381"/>
      <c r="C381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</row>
    <row r="382" spans="1:56" x14ac:dyDescent="0.4">
      <c r="A382"/>
      <c r="B382"/>
      <c r="C382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</row>
    <row r="383" spans="1:56" x14ac:dyDescent="0.4">
      <c r="A383"/>
      <c r="B383"/>
      <c r="C383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</row>
    <row r="384" spans="1:56" x14ac:dyDescent="0.4">
      <c r="A384"/>
      <c r="B384"/>
      <c r="C384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</row>
    <row r="385" spans="1:56" x14ac:dyDescent="0.4">
      <c r="A385"/>
      <c r="B385"/>
      <c r="C385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</row>
    <row r="386" spans="1:56" x14ac:dyDescent="0.4">
      <c r="A386"/>
      <c r="B386"/>
      <c r="C386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</row>
    <row r="387" spans="1:56" x14ac:dyDescent="0.4">
      <c r="A387"/>
      <c r="B387"/>
      <c r="C38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</row>
    <row r="388" spans="1:56" x14ac:dyDescent="0.4">
      <c r="A388"/>
      <c r="B388"/>
      <c r="C388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</row>
    <row r="389" spans="1:56" x14ac:dyDescent="0.4">
      <c r="A389"/>
      <c r="B389"/>
      <c r="C389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</row>
    <row r="390" spans="1:56" x14ac:dyDescent="0.4">
      <c r="A390"/>
      <c r="B390"/>
      <c r="C390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</row>
    <row r="391" spans="1:56" x14ac:dyDescent="0.4">
      <c r="A391"/>
      <c r="B391"/>
      <c r="C391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</row>
    <row r="392" spans="1:56" x14ac:dyDescent="0.4">
      <c r="A392"/>
      <c r="B392"/>
      <c r="C392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</row>
    <row r="393" spans="1:56" x14ac:dyDescent="0.4">
      <c r="A393"/>
      <c r="B393"/>
      <c r="C393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</row>
    <row r="394" spans="1:56" x14ac:dyDescent="0.4">
      <c r="A394"/>
      <c r="B394"/>
      <c r="C394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</row>
    <row r="395" spans="1:56" x14ac:dyDescent="0.4">
      <c r="A395"/>
      <c r="B395"/>
      <c r="C395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</row>
    <row r="396" spans="1:56" x14ac:dyDescent="0.4">
      <c r="A396"/>
      <c r="B396"/>
      <c r="C396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</row>
    <row r="397" spans="1:56" x14ac:dyDescent="0.4">
      <c r="A397"/>
      <c r="B397"/>
      <c r="C39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</row>
    <row r="398" spans="1:56" x14ac:dyDescent="0.4">
      <c r="A398"/>
      <c r="B398"/>
      <c r="C398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</row>
    <row r="399" spans="1:56" x14ac:dyDescent="0.4">
      <c r="A399"/>
      <c r="B399"/>
      <c r="C399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</row>
    <row r="400" spans="1:56" x14ac:dyDescent="0.4">
      <c r="A400"/>
      <c r="B400"/>
      <c r="C400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</row>
    <row r="401" spans="1:56" x14ac:dyDescent="0.4">
      <c r="A401"/>
      <c r="B401"/>
      <c r="C401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</row>
    <row r="402" spans="1:56" x14ac:dyDescent="0.4">
      <c r="A402"/>
      <c r="B402"/>
      <c r="C402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</row>
    <row r="403" spans="1:56" x14ac:dyDescent="0.4">
      <c r="A403"/>
      <c r="B403"/>
      <c r="C403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</row>
    <row r="404" spans="1:56" x14ac:dyDescent="0.4">
      <c r="A404"/>
      <c r="B404"/>
      <c r="C404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</row>
    <row r="405" spans="1:56" x14ac:dyDescent="0.4">
      <c r="A405"/>
      <c r="B405"/>
      <c r="C405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</row>
    <row r="406" spans="1:56" x14ac:dyDescent="0.4">
      <c r="A406"/>
      <c r="B406"/>
      <c r="C406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</row>
    <row r="407" spans="1:56" x14ac:dyDescent="0.4">
      <c r="A407"/>
      <c r="B407"/>
      <c r="C40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</row>
    <row r="408" spans="1:56" x14ac:dyDescent="0.4">
      <c r="A408"/>
      <c r="B408"/>
      <c r="C408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</row>
    <row r="409" spans="1:56" x14ac:dyDescent="0.4">
      <c r="A409"/>
      <c r="B409"/>
      <c r="C409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</row>
    <row r="410" spans="1:56" x14ac:dyDescent="0.4">
      <c r="A410"/>
      <c r="B410"/>
      <c r="C410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</row>
    <row r="411" spans="1:56" x14ac:dyDescent="0.4">
      <c r="A411"/>
      <c r="B411"/>
      <c r="C411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</row>
    <row r="412" spans="1:56" x14ac:dyDescent="0.4">
      <c r="A412"/>
      <c r="B412"/>
      <c r="C412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</row>
    <row r="413" spans="1:56" x14ac:dyDescent="0.4">
      <c r="A413"/>
      <c r="B413"/>
      <c r="C413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</row>
  </sheetData>
  <pageMargins left="0.7" right="0.7" top="0.75" bottom="0.75" header="0.3" footer="0.3"/>
  <pageSetup paperSize="9" orientation="portrait" r:id="rId1"/>
  <customProperties>
    <customPr name="_pios_id" r:id="rId2"/>
  </customPropertie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83BFE-9EA2-4460-A75C-DB2C5B15DEE2}">
  <sheetPr>
    <tabColor theme="6" tint="-0.249977111117893"/>
  </sheetPr>
  <dimension ref="A1:BJ301"/>
  <sheetViews>
    <sheetView showGridLines="0" zoomScale="70" zoomScaleNormal="70" workbookViewId="0">
      <pane xSplit="2" topLeftCell="C1" activePane="topRight" state="frozen"/>
      <selection activeCell="BB95" sqref="BB95"/>
      <selection pane="topRight" activeCell="BJ77" sqref="BJ1:BJ1048576"/>
    </sheetView>
  </sheetViews>
  <sheetFormatPr baseColWidth="10" defaultRowHeight="16" outlineLevelCol="1" x14ac:dyDescent="0.4"/>
  <cols>
    <col min="1" max="1" width="57.1796875" style="17" customWidth="1"/>
    <col min="2" max="2" width="54.54296875" style="17" hidden="1" customWidth="1" outlineLevel="1"/>
    <col min="3" max="3" width="2" style="17" customWidth="1" collapsed="1"/>
    <col min="4" max="7" width="11.54296875" style="33" hidden="1" customWidth="1" outlineLevel="1"/>
    <col min="8" max="8" width="11.54296875" style="95" customWidth="1" collapsed="1"/>
    <col min="9" max="12" width="11.54296875" style="33" hidden="1" customWidth="1" outlineLevel="1"/>
    <col min="13" max="13" width="11.54296875" style="95" customWidth="1" collapsed="1"/>
    <col min="14" max="17" width="11.54296875" style="33" hidden="1" customWidth="1" outlineLevel="1"/>
    <col min="18" max="18" width="11.54296875" style="95" customWidth="1" collapsed="1"/>
    <col min="19" max="22" width="11.54296875" style="33" hidden="1" customWidth="1" outlineLevel="1"/>
    <col min="23" max="23" width="11.54296875" style="95" customWidth="1" collapsed="1"/>
    <col min="24" max="27" width="11.54296875" style="33" hidden="1" customWidth="1" outlineLevel="1"/>
    <col min="28" max="28" width="11.54296875" style="95" customWidth="1" collapsed="1"/>
    <col min="29" max="32" width="11.54296875" style="33" hidden="1" customWidth="1" outlineLevel="1"/>
    <col min="33" max="33" width="11.54296875" style="95" customWidth="1" collapsed="1"/>
    <col min="34" max="37" width="11.54296875" style="33" hidden="1" customWidth="1" outlineLevel="1"/>
    <col min="38" max="38" width="11.54296875" style="95" customWidth="1" collapsed="1"/>
    <col min="39" max="42" width="11.54296875" style="95" hidden="1" customWidth="1" outlineLevel="1"/>
    <col min="43" max="43" width="11.54296875" style="95" customWidth="1" collapsed="1"/>
    <col min="44" max="47" width="11.54296875" style="95" hidden="1" customWidth="1" outlineLevel="1"/>
    <col min="48" max="48" width="11.54296875" style="95" customWidth="1" collapsed="1"/>
    <col min="49" max="49" width="11.54296875" style="95" hidden="1" customWidth="1" outlineLevel="1"/>
    <col min="50" max="51" width="10.81640625" style="95" hidden="1" customWidth="1" outlineLevel="1"/>
    <col min="52" max="52" width="10.453125" style="95" hidden="1" customWidth="1" outlineLevel="1"/>
    <col min="53" max="53" width="11.54296875" style="95" customWidth="1" collapsed="1"/>
    <col min="54" max="54" width="10.453125" style="95" hidden="1" customWidth="1" outlineLevel="1"/>
    <col min="55" max="55" width="10.90625" hidden="1" customWidth="1" outlineLevel="1" collapsed="1"/>
    <col min="56" max="57" width="10.90625" hidden="1" customWidth="1" outlineLevel="1"/>
    <col min="58" max="58" width="11.90625" customWidth="1" collapsed="1"/>
  </cols>
  <sheetData>
    <row r="1" spans="1:62" ht="16.5" thickBot="1" x14ac:dyDescent="0.45">
      <c r="A1" s="1" t="s">
        <v>0</v>
      </c>
      <c r="B1" s="96" t="s">
        <v>193</v>
      </c>
      <c r="C1" s="2"/>
      <c r="D1" s="3" t="s">
        <v>2</v>
      </c>
      <c r="E1" s="3" t="s">
        <v>3</v>
      </c>
      <c r="F1" s="3" t="s">
        <v>4</v>
      </c>
      <c r="G1" s="3" t="s">
        <v>5</v>
      </c>
      <c r="H1" s="4">
        <v>2015</v>
      </c>
      <c r="I1" s="3" t="s">
        <v>6</v>
      </c>
      <c r="J1" s="3" t="s">
        <v>7</v>
      </c>
      <c r="K1" s="3" t="s">
        <v>8</v>
      </c>
      <c r="L1" s="3" t="s">
        <v>9</v>
      </c>
      <c r="M1" s="4">
        <v>2016</v>
      </c>
      <c r="N1" s="3" t="s">
        <v>10</v>
      </c>
      <c r="O1" s="3" t="s">
        <v>11</v>
      </c>
      <c r="P1" s="3" t="s">
        <v>12</v>
      </c>
      <c r="Q1" s="3" t="s">
        <v>13</v>
      </c>
      <c r="R1" s="4">
        <v>2017</v>
      </c>
      <c r="S1" s="3" t="s">
        <v>14</v>
      </c>
      <c r="T1" s="3" t="s">
        <v>15</v>
      </c>
      <c r="U1" s="3" t="s">
        <v>16</v>
      </c>
      <c r="V1" s="3" t="s">
        <v>17</v>
      </c>
      <c r="W1" s="4">
        <v>2018</v>
      </c>
      <c r="X1" s="3" t="s">
        <v>18</v>
      </c>
      <c r="Y1" s="3" t="s">
        <v>19</v>
      </c>
      <c r="Z1" s="3" t="s">
        <v>20</v>
      </c>
      <c r="AA1" s="3" t="s">
        <v>21</v>
      </c>
      <c r="AB1" s="4">
        <v>2019</v>
      </c>
      <c r="AC1" s="3" t="s">
        <v>22</v>
      </c>
      <c r="AD1" s="3" t="s">
        <v>23</v>
      </c>
      <c r="AE1" s="3" t="s">
        <v>24</v>
      </c>
      <c r="AF1" s="3" t="s">
        <v>25</v>
      </c>
      <c r="AG1" s="4">
        <v>2020</v>
      </c>
      <c r="AH1" s="3" t="s">
        <v>26</v>
      </c>
      <c r="AI1" s="3" t="s">
        <v>27</v>
      </c>
      <c r="AJ1" s="3" t="s">
        <v>28</v>
      </c>
      <c r="AK1" s="3" t="s">
        <v>29</v>
      </c>
      <c r="AL1" s="4">
        <v>2021</v>
      </c>
      <c r="AM1" s="3" t="s">
        <v>30</v>
      </c>
      <c r="AN1" s="3" t="s">
        <v>31</v>
      </c>
      <c r="AO1" s="3" t="s">
        <v>32</v>
      </c>
      <c r="AP1" s="3" t="s">
        <v>33</v>
      </c>
      <c r="AQ1" s="4">
        <v>2022</v>
      </c>
      <c r="AR1" s="3" t="s">
        <v>34</v>
      </c>
      <c r="AS1" s="3" t="s">
        <v>35</v>
      </c>
      <c r="AT1" s="3" t="s">
        <v>36</v>
      </c>
      <c r="AU1" s="3" t="s">
        <v>37</v>
      </c>
      <c r="AV1" s="4">
        <v>2023</v>
      </c>
      <c r="AW1" s="3" t="s">
        <v>38</v>
      </c>
      <c r="AX1" s="3" t="s">
        <v>39</v>
      </c>
      <c r="AY1" s="3" t="s">
        <v>40</v>
      </c>
      <c r="AZ1" s="3" t="s">
        <v>41</v>
      </c>
      <c r="BA1" s="4">
        <v>2024</v>
      </c>
      <c r="BB1" s="3" t="s">
        <v>42</v>
      </c>
      <c r="BC1" s="3" t="s">
        <v>383</v>
      </c>
      <c r="BD1" s="3" t="s">
        <v>384</v>
      </c>
      <c r="BE1" s="3" t="s">
        <v>385</v>
      </c>
      <c r="BF1" s="4">
        <v>2025</v>
      </c>
      <c r="BG1" s="3" t="s">
        <v>386</v>
      </c>
      <c r="BH1" s="3" t="s">
        <v>387</v>
      </c>
    </row>
    <row r="2" spans="1:62" x14ac:dyDescent="0.4">
      <c r="A2" s="97" t="s">
        <v>194</v>
      </c>
      <c r="B2" s="97" t="s">
        <v>195</v>
      </c>
      <c r="C2" s="5"/>
      <c r="D2" s="98">
        <v>46</v>
      </c>
      <c r="E2" s="98">
        <v>48</v>
      </c>
      <c r="F2" s="98">
        <v>55.711630434782599</v>
      </c>
      <c r="G2" s="98">
        <v>51.237717391304336</v>
      </c>
      <c r="H2" s="99">
        <v>50.23733695652173</v>
      </c>
      <c r="I2" s="98">
        <v>30.7</v>
      </c>
      <c r="J2" s="98">
        <v>30</v>
      </c>
      <c r="K2" s="98">
        <v>41.744599999999998</v>
      </c>
      <c r="L2" s="98">
        <v>56.513333333333343</v>
      </c>
      <c r="M2" s="201">
        <v>39.822580645161288</v>
      </c>
      <c r="N2" s="98">
        <v>55.4</v>
      </c>
      <c r="O2" s="98">
        <v>47.15</v>
      </c>
      <c r="P2" s="98">
        <v>48.4666</v>
      </c>
      <c r="Q2" s="98">
        <v>57.5</v>
      </c>
      <c r="R2" s="201">
        <v>52.12</v>
      </c>
      <c r="S2" s="98">
        <v>48.334000000000003</v>
      </c>
      <c r="T2" s="98">
        <v>50.368600000000001</v>
      </c>
      <c r="U2" s="98">
        <v>65.857391304347814</v>
      </c>
      <c r="V2" s="98">
        <v>62.957173913043491</v>
      </c>
      <c r="W2" s="201">
        <v>57.445616438356218</v>
      </c>
      <c r="X2" s="98">
        <v>54.837444444444486</v>
      </c>
      <c r="Y2" s="98">
        <v>48.548901100000002</v>
      </c>
      <c r="Z2" s="98">
        <v>46.78</v>
      </c>
      <c r="AA2" s="98">
        <v>40.914999999999999</v>
      </c>
      <c r="AB2" s="201">
        <v>47.605452049999997</v>
      </c>
      <c r="AC2" s="98">
        <v>34.9</v>
      </c>
      <c r="AD2" s="98">
        <v>23.2</v>
      </c>
      <c r="AE2" s="98">
        <v>37.6</v>
      </c>
      <c r="AF2" s="98">
        <v>40.200000000000003</v>
      </c>
      <c r="AG2" s="201">
        <v>33.974999999999994</v>
      </c>
      <c r="AH2" s="98">
        <v>44.7</v>
      </c>
      <c r="AI2" s="98">
        <v>71.8</v>
      </c>
      <c r="AJ2" s="98">
        <v>118.2</v>
      </c>
      <c r="AK2" s="98">
        <v>210.9</v>
      </c>
      <c r="AL2" s="201">
        <v>111.4</v>
      </c>
      <c r="AM2" s="98">
        <v>228.4</v>
      </c>
      <c r="AN2" s="214">
        <v>182.76</v>
      </c>
      <c r="AO2" s="214">
        <v>146.19999999999999</v>
      </c>
      <c r="AP2" s="214">
        <v>113.2</v>
      </c>
      <c r="AQ2" s="201">
        <v>167.6</v>
      </c>
      <c r="AR2" s="98">
        <v>97.55</v>
      </c>
      <c r="AS2" s="215">
        <v>80.321788530465938</v>
      </c>
      <c r="AT2" s="215">
        <v>96.56</v>
      </c>
      <c r="AU2" s="215">
        <v>75.25</v>
      </c>
      <c r="AV2" s="201">
        <v>87.42</v>
      </c>
      <c r="AW2" s="98">
        <v>44.79</v>
      </c>
      <c r="AX2" s="98">
        <v>33.380000000000003</v>
      </c>
      <c r="AY2" s="98">
        <v>78.66</v>
      </c>
      <c r="AZ2" s="98">
        <v>94.71</v>
      </c>
      <c r="BA2" s="201">
        <v>62.89</v>
      </c>
      <c r="BB2" s="98">
        <v>86.03</v>
      </c>
      <c r="BC2" s="98">
        <v>36.799999999999997</v>
      </c>
      <c r="BD2" s="98">
        <v>66.500559139784954</v>
      </c>
      <c r="BE2" s="98">
        <v>70.778810035842298</v>
      </c>
      <c r="BF2" s="201">
        <v>65.521819124423956</v>
      </c>
      <c r="BG2" s="98">
        <v>47.213228415755026</v>
      </c>
      <c r="BH2" s="98">
        <v>55.42</v>
      </c>
      <c r="BJ2" s="216"/>
    </row>
    <row r="3" spans="1:62" ht="16.5" thickBot="1" x14ac:dyDescent="0.45">
      <c r="C3" s="9"/>
      <c r="H3" s="33"/>
      <c r="M3" s="33"/>
      <c r="R3" s="33"/>
      <c r="S3" s="19"/>
      <c r="T3" s="19"/>
      <c r="U3" s="19"/>
      <c r="V3" s="19"/>
      <c r="W3" s="33"/>
      <c r="X3" s="19"/>
      <c r="Y3" s="19"/>
      <c r="Z3" s="19"/>
      <c r="AA3" s="19"/>
      <c r="AB3" s="33"/>
      <c r="AC3" s="19"/>
      <c r="AD3" s="19"/>
      <c r="AE3" s="19"/>
      <c r="AF3" s="19"/>
      <c r="AG3" s="33"/>
      <c r="AH3" s="19"/>
      <c r="AI3" s="19"/>
      <c r="AJ3" s="19"/>
      <c r="AK3" s="19"/>
      <c r="AL3" s="33"/>
      <c r="AM3" s="19"/>
      <c r="AN3" s="19"/>
      <c r="AO3" s="19"/>
      <c r="AP3" s="19"/>
      <c r="AQ3" s="33"/>
      <c r="AR3" s="19"/>
      <c r="AS3" s="19"/>
      <c r="AT3" s="19"/>
      <c r="AU3" s="19"/>
      <c r="AV3" s="33"/>
      <c r="AW3" s="19"/>
      <c r="AX3" s="19"/>
      <c r="AY3" s="19"/>
      <c r="AZ3" s="19"/>
      <c r="BA3" s="33"/>
      <c r="BB3" s="19"/>
      <c r="BC3" s="19"/>
      <c r="BF3" s="33"/>
      <c r="BJ3" s="216"/>
    </row>
    <row r="4" spans="1:62" ht="16.5" thickBot="1" x14ac:dyDescent="0.45">
      <c r="A4" s="1" t="s">
        <v>196</v>
      </c>
      <c r="B4" s="92" t="s">
        <v>197</v>
      </c>
      <c r="C4" s="9"/>
      <c r="D4" s="3" t="str">
        <f>D1</f>
        <v>1T15</v>
      </c>
      <c r="E4" s="3" t="str">
        <f>E1</f>
        <v>2T15</v>
      </c>
      <c r="F4" s="3" t="str">
        <f>F1</f>
        <v>3T15</v>
      </c>
      <c r="G4" s="3" t="str">
        <f>G1</f>
        <v>4T15</v>
      </c>
      <c r="H4" s="4">
        <f>H1</f>
        <v>2015</v>
      </c>
      <c r="I4" s="3" t="str">
        <f t="shared" ref="I4:AT4" si="0">I1</f>
        <v>1T16</v>
      </c>
      <c r="J4" s="3" t="str">
        <f t="shared" si="0"/>
        <v>2T16</v>
      </c>
      <c r="K4" s="3" t="str">
        <f t="shared" si="0"/>
        <v>3T16</v>
      </c>
      <c r="L4" s="3" t="str">
        <f t="shared" si="0"/>
        <v>4T16</v>
      </c>
      <c r="M4" s="4">
        <f t="shared" si="0"/>
        <v>2016</v>
      </c>
      <c r="N4" s="3" t="str">
        <f t="shared" si="0"/>
        <v>1T17</v>
      </c>
      <c r="O4" s="3" t="str">
        <f t="shared" si="0"/>
        <v>2T17</v>
      </c>
      <c r="P4" s="3" t="str">
        <f t="shared" si="0"/>
        <v>3T17</v>
      </c>
      <c r="Q4" s="3" t="str">
        <f t="shared" si="0"/>
        <v>4T17</v>
      </c>
      <c r="R4" s="4">
        <f t="shared" si="0"/>
        <v>2017</v>
      </c>
      <c r="S4" s="3" t="str">
        <f t="shared" si="0"/>
        <v>1T18</v>
      </c>
      <c r="T4" s="3" t="str">
        <f t="shared" si="0"/>
        <v>2T18</v>
      </c>
      <c r="U4" s="3" t="str">
        <f t="shared" si="0"/>
        <v>3T18</v>
      </c>
      <c r="V4" s="3" t="str">
        <f t="shared" si="0"/>
        <v>4T18</v>
      </c>
      <c r="W4" s="4">
        <f t="shared" si="0"/>
        <v>2018</v>
      </c>
      <c r="X4" s="3" t="str">
        <f t="shared" si="0"/>
        <v>1T19</v>
      </c>
      <c r="Y4" s="3" t="str">
        <f t="shared" si="0"/>
        <v>2T19</v>
      </c>
      <c r="Z4" s="3" t="str">
        <f t="shared" si="0"/>
        <v>3T19</v>
      </c>
      <c r="AA4" s="3" t="str">
        <f t="shared" si="0"/>
        <v>4T19</v>
      </c>
      <c r="AB4" s="4">
        <f t="shared" si="0"/>
        <v>2019</v>
      </c>
      <c r="AC4" s="3" t="str">
        <f t="shared" si="0"/>
        <v>1T20</v>
      </c>
      <c r="AD4" s="3" t="str">
        <f t="shared" si="0"/>
        <v>2T20</v>
      </c>
      <c r="AE4" s="3" t="str">
        <f t="shared" si="0"/>
        <v>3T20</v>
      </c>
      <c r="AF4" s="3" t="str">
        <f t="shared" si="0"/>
        <v>4T20</v>
      </c>
      <c r="AG4" s="4">
        <f t="shared" si="0"/>
        <v>2020</v>
      </c>
      <c r="AH4" s="3" t="str">
        <f t="shared" si="0"/>
        <v>1T21</v>
      </c>
      <c r="AI4" s="3" t="str">
        <f t="shared" si="0"/>
        <v>2T21</v>
      </c>
      <c r="AJ4" s="3" t="str">
        <f t="shared" si="0"/>
        <v>3T21</v>
      </c>
      <c r="AK4" s="3" t="str">
        <f t="shared" si="0"/>
        <v>4T21</v>
      </c>
      <c r="AL4" s="4">
        <f t="shared" si="0"/>
        <v>2021</v>
      </c>
      <c r="AM4" s="3" t="str">
        <f t="shared" si="0"/>
        <v>1T22</v>
      </c>
      <c r="AN4" s="3" t="str">
        <f t="shared" si="0"/>
        <v>2T22</v>
      </c>
      <c r="AO4" s="3" t="str">
        <f t="shared" si="0"/>
        <v>3T22</v>
      </c>
      <c r="AP4" s="3" t="str">
        <f t="shared" si="0"/>
        <v>4T22</v>
      </c>
      <c r="AQ4" s="4">
        <f t="shared" si="0"/>
        <v>2022</v>
      </c>
      <c r="AR4" s="3" t="str">
        <f t="shared" si="0"/>
        <v>1T23</v>
      </c>
      <c r="AS4" s="3" t="str">
        <f t="shared" si="0"/>
        <v>2T23</v>
      </c>
      <c r="AT4" s="3" t="str">
        <f t="shared" si="0"/>
        <v>3T23</v>
      </c>
      <c r="AU4" s="3" t="s">
        <v>37</v>
      </c>
      <c r="AV4" s="4">
        <v>2023</v>
      </c>
      <c r="AW4" s="3" t="str">
        <f>AW1</f>
        <v>1T24</v>
      </c>
      <c r="AX4" s="3" t="str">
        <f t="shared" ref="AX4:BB4" si="1">AX1</f>
        <v>2T24</v>
      </c>
      <c r="AY4" s="3" t="str">
        <f t="shared" si="1"/>
        <v>3T24</v>
      </c>
      <c r="AZ4" s="3" t="str">
        <f t="shared" si="1"/>
        <v>4T24</v>
      </c>
      <c r="BA4" s="4">
        <f t="shared" si="1"/>
        <v>2024</v>
      </c>
      <c r="BB4" s="3" t="str">
        <f t="shared" si="1"/>
        <v>1T25</v>
      </c>
      <c r="BC4" s="3" t="s">
        <v>383</v>
      </c>
      <c r="BD4" s="3" t="s">
        <v>384</v>
      </c>
      <c r="BE4" s="3" t="s">
        <v>385</v>
      </c>
      <c r="BF4" s="4">
        <v>2025</v>
      </c>
      <c r="BG4" s="3" t="s">
        <v>386</v>
      </c>
      <c r="BH4" s="3" t="s">
        <v>387</v>
      </c>
      <c r="BJ4" s="216"/>
    </row>
    <row r="5" spans="1:62" x14ac:dyDescent="0.4">
      <c r="A5" s="9" t="s">
        <v>198</v>
      </c>
      <c r="B5" s="9" t="s">
        <v>199</v>
      </c>
      <c r="C5" s="21"/>
      <c r="D5" s="19">
        <v>34139.800000000003</v>
      </c>
      <c r="E5" s="19">
        <v>34869.399999999994</v>
      </c>
      <c r="F5" s="19">
        <v>45503</v>
      </c>
      <c r="G5" s="19">
        <v>46125.7</v>
      </c>
      <c r="H5" s="36">
        <v>160637.9</v>
      </c>
      <c r="I5" s="19">
        <v>41202.600000000006</v>
      </c>
      <c r="J5" s="19">
        <v>9271.2999999999993</v>
      </c>
      <c r="K5" s="19">
        <v>53156.700000000004</v>
      </c>
      <c r="L5" s="19">
        <v>50683.6</v>
      </c>
      <c r="M5" s="36">
        <v>154314.20000000001</v>
      </c>
      <c r="N5" s="19">
        <v>47290.649999999994</v>
      </c>
      <c r="O5" s="19">
        <v>39930.5</v>
      </c>
      <c r="P5" s="19">
        <v>43895.099999999991</v>
      </c>
      <c r="Q5" s="19">
        <v>42724</v>
      </c>
      <c r="R5" s="36">
        <v>173840.55</v>
      </c>
      <c r="S5" s="19">
        <v>36022.699999999997</v>
      </c>
      <c r="T5" s="19">
        <v>37118.100000000006</v>
      </c>
      <c r="U5" s="19">
        <v>38925</v>
      </c>
      <c r="V5" s="19">
        <v>36574</v>
      </c>
      <c r="W5" s="36">
        <v>148640</v>
      </c>
      <c r="X5" s="19">
        <v>34790.25</v>
      </c>
      <c r="Y5" s="19">
        <v>13976</v>
      </c>
      <c r="Z5" s="19">
        <v>51175.5</v>
      </c>
      <c r="AA5" s="19">
        <v>55784.66</v>
      </c>
      <c r="AB5" s="36">
        <v>155726</v>
      </c>
      <c r="AC5" s="19">
        <v>28138.799999999999</v>
      </c>
      <c r="AD5" s="19">
        <v>0</v>
      </c>
      <c r="AE5" s="19">
        <v>24694.5</v>
      </c>
      <c r="AF5" s="19">
        <v>53899.892</v>
      </c>
      <c r="AG5" s="36">
        <v>106733.19200000001</v>
      </c>
      <c r="AH5" s="19">
        <v>37309.724000000002</v>
      </c>
      <c r="AI5" s="19">
        <v>48531.256000000001</v>
      </c>
      <c r="AJ5" s="19">
        <v>52859.698000000004</v>
      </c>
      <c r="AK5" s="19">
        <v>54536.641999999993</v>
      </c>
      <c r="AL5" s="36">
        <v>193237.32</v>
      </c>
      <c r="AM5" s="19">
        <v>52163.509999999995</v>
      </c>
      <c r="AN5" s="19">
        <v>44786.374000000003</v>
      </c>
      <c r="AO5" s="19">
        <v>39160.050000000003</v>
      </c>
      <c r="AP5" s="19">
        <v>0</v>
      </c>
      <c r="AQ5" s="36">
        <v>136109.93400000001</v>
      </c>
      <c r="AR5" s="19">
        <v>34712.03</v>
      </c>
      <c r="AS5" s="19">
        <v>34319</v>
      </c>
      <c r="AT5" s="19">
        <v>35546</v>
      </c>
      <c r="AU5" s="19">
        <v>27171</v>
      </c>
      <c r="AV5" s="36">
        <v>131748</v>
      </c>
      <c r="AW5" s="19">
        <v>25697.760000000002</v>
      </c>
      <c r="AX5" s="19">
        <v>0</v>
      </c>
      <c r="AY5" s="19">
        <v>36882.36</v>
      </c>
      <c r="AZ5" s="19">
        <v>43165.15</v>
      </c>
      <c r="BA5" s="36">
        <v>105745.26999999999</v>
      </c>
      <c r="BB5" s="19">
        <v>24907.32</v>
      </c>
      <c r="BC5" s="19">
        <v>35545.310000000005</v>
      </c>
      <c r="BD5" s="19">
        <v>33463.870000000003</v>
      </c>
      <c r="BE5" s="19">
        <v>19071.82</v>
      </c>
      <c r="BF5" s="202">
        <v>112988.32</v>
      </c>
      <c r="BG5" s="19">
        <v>0</v>
      </c>
      <c r="BH5" s="19">
        <v>0</v>
      </c>
      <c r="BJ5" s="216"/>
    </row>
    <row r="6" spans="1:62" x14ac:dyDescent="0.4">
      <c r="A6" s="9" t="s">
        <v>200</v>
      </c>
      <c r="B6" s="9" t="s">
        <v>201</v>
      </c>
      <c r="D6" s="19"/>
      <c r="E6" s="19"/>
      <c r="F6" s="19"/>
      <c r="G6" s="19"/>
      <c r="H6" s="36"/>
      <c r="I6" s="19"/>
      <c r="J6" s="19"/>
      <c r="K6" s="19"/>
      <c r="L6" s="19"/>
      <c r="M6" s="36"/>
      <c r="N6" s="19">
        <v>21204.510000000002</v>
      </c>
      <c r="O6" s="19">
        <v>19869.256000000001</v>
      </c>
      <c r="P6" s="19">
        <v>19012.156999999999</v>
      </c>
      <c r="Q6" s="19">
        <v>16973.53</v>
      </c>
      <c r="R6" s="36">
        <v>77059.453000000009</v>
      </c>
      <c r="S6" s="19">
        <v>24404.344000000001</v>
      </c>
      <c r="T6" s="19">
        <v>20788.356</v>
      </c>
      <c r="U6" s="19">
        <v>21658.483999999997</v>
      </c>
      <c r="V6" s="19">
        <v>12498</v>
      </c>
      <c r="W6" s="36">
        <v>79349</v>
      </c>
      <c r="X6" s="19">
        <v>18888</v>
      </c>
      <c r="Y6" s="19">
        <v>21219</v>
      </c>
      <c r="Z6" s="19">
        <v>13788.029999999999</v>
      </c>
      <c r="AA6" s="19">
        <v>17419.64</v>
      </c>
      <c r="AB6" s="36">
        <v>71315</v>
      </c>
      <c r="AC6" s="19">
        <v>24181.834000000003</v>
      </c>
      <c r="AD6" s="19">
        <v>21926.554</v>
      </c>
      <c r="AE6" s="19">
        <v>24621.957999999999</v>
      </c>
      <c r="AF6" s="19">
        <v>17913.409</v>
      </c>
      <c r="AG6" s="36">
        <v>88643.755000000005</v>
      </c>
      <c r="AH6" s="19">
        <v>21852.168000000001</v>
      </c>
      <c r="AI6" s="19">
        <v>21779.025000000009</v>
      </c>
      <c r="AJ6" s="19">
        <v>23284.100000000002</v>
      </c>
      <c r="AK6" s="19">
        <v>25113.43</v>
      </c>
      <c r="AL6" s="36">
        <v>92028.723000000027</v>
      </c>
      <c r="AM6" s="19">
        <v>26151.882999999954</v>
      </c>
      <c r="AN6" s="19">
        <v>21301.558999999994</v>
      </c>
      <c r="AO6" s="19">
        <v>19102.958000000061</v>
      </c>
      <c r="AP6" s="19">
        <v>14368.927999999996</v>
      </c>
      <c r="AQ6" s="36">
        <v>80925.327999999994</v>
      </c>
      <c r="AR6" s="19">
        <v>16835.813000000002</v>
      </c>
      <c r="AS6" s="19">
        <v>18972</v>
      </c>
      <c r="AT6" s="19">
        <v>19261</v>
      </c>
      <c r="AU6" s="19">
        <v>13956</v>
      </c>
      <c r="AV6" s="36">
        <v>69023</v>
      </c>
      <c r="AW6" s="19">
        <v>20540.626000000011</v>
      </c>
      <c r="AX6" s="19">
        <v>19792</v>
      </c>
      <c r="AY6" s="19">
        <v>21514.612999999998</v>
      </c>
      <c r="AZ6" s="19">
        <v>21010.099999999995</v>
      </c>
      <c r="BA6" s="36">
        <v>82857.034999999989</v>
      </c>
      <c r="BB6" s="19">
        <v>19602.733999999997</v>
      </c>
      <c r="BC6" s="19">
        <v>16523.714000000007</v>
      </c>
      <c r="BD6" s="19">
        <v>20638.664999999997</v>
      </c>
      <c r="BE6" s="19">
        <v>19796.814000000002</v>
      </c>
      <c r="BF6" s="202">
        <v>76561.926999999996</v>
      </c>
      <c r="BG6" s="19">
        <v>14441.789999999999</v>
      </c>
      <c r="BH6" s="19">
        <v>16146.569</v>
      </c>
      <c r="BJ6" s="216"/>
    </row>
    <row r="7" spans="1:62" x14ac:dyDescent="0.4">
      <c r="A7" s="9" t="s">
        <v>202</v>
      </c>
      <c r="B7" s="9" t="s">
        <v>203</v>
      </c>
      <c r="D7" s="19"/>
      <c r="E7" s="19"/>
      <c r="F7" s="19"/>
      <c r="G7" s="19"/>
      <c r="H7" s="36"/>
      <c r="I7" s="19"/>
      <c r="J7" s="19"/>
      <c r="K7" s="19"/>
      <c r="L7" s="19"/>
      <c r="M7" s="36"/>
      <c r="N7" s="19">
        <v>23354.97</v>
      </c>
      <c r="O7" s="19">
        <v>19322.904000000002</v>
      </c>
      <c r="P7" s="19">
        <v>24994.666000000001</v>
      </c>
      <c r="Q7" s="19">
        <v>23070.762999999999</v>
      </c>
      <c r="R7" s="36">
        <v>90743.302999999985</v>
      </c>
      <c r="S7" s="19">
        <v>23141.024000000001</v>
      </c>
      <c r="T7" s="19">
        <v>22031.025999999998</v>
      </c>
      <c r="U7" s="19">
        <v>23604.579999999998</v>
      </c>
      <c r="V7" s="19">
        <v>24001</v>
      </c>
      <c r="W7" s="36">
        <v>92778</v>
      </c>
      <c r="X7" s="19">
        <v>22545.339999999997</v>
      </c>
      <c r="Y7" s="19">
        <v>23372.13</v>
      </c>
      <c r="Z7" s="19">
        <v>23955.27</v>
      </c>
      <c r="AA7" s="19">
        <v>24295.79</v>
      </c>
      <c r="AB7" s="36">
        <v>94169</v>
      </c>
      <c r="AC7" s="19">
        <v>7359.9369999999999</v>
      </c>
      <c r="AD7" s="19">
        <v>25910.481</v>
      </c>
      <c r="AE7" s="19">
        <v>22989.936000000002</v>
      </c>
      <c r="AF7" s="19">
        <v>25400.408999999985</v>
      </c>
      <c r="AG7" s="36">
        <v>81660.762999999992</v>
      </c>
      <c r="AH7" s="19">
        <v>25325.314000000002</v>
      </c>
      <c r="AI7" s="19">
        <v>24157.616999999991</v>
      </c>
      <c r="AJ7" s="19">
        <v>25843.150999999998</v>
      </c>
      <c r="AK7" s="19">
        <v>26319.410000000003</v>
      </c>
      <c r="AL7" s="36">
        <v>101645.49199999998</v>
      </c>
      <c r="AM7" s="19">
        <v>25238.922999999973</v>
      </c>
      <c r="AN7" s="19">
        <v>23483.922999999995</v>
      </c>
      <c r="AO7" s="19">
        <v>18771.75400000003</v>
      </c>
      <c r="AP7" s="19">
        <v>3047.04</v>
      </c>
      <c r="AQ7" s="36">
        <v>70541.64</v>
      </c>
      <c r="AR7" s="19">
        <v>0</v>
      </c>
      <c r="AS7" s="19">
        <v>0</v>
      </c>
      <c r="AT7" s="19">
        <v>0</v>
      </c>
      <c r="AU7" s="19">
        <v>0</v>
      </c>
      <c r="AV7" s="36">
        <v>0</v>
      </c>
      <c r="AW7" s="19">
        <v>0</v>
      </c>
      <c r="AX7" s="19">
        <v>0</v>
      </c>
      <c r="AY7" s="19">
        <v>0</v>
      </c>
      <c r="AZ7" s="19">
        <v>218.12200000000001</v>
      </c>
      <c r="BA7" s="36">
        <v>218.12200000000001</v>
      </c>
      <c r="BB7" s="19">
        <v>18303.459999999995</v>
      </c>
      <c r="BC7" s="19">
        <v>17801.417999999994</v>
      </c>
      <c r="BD7" s="19">
        <v>19295.255999999998</v>
      </c>
      <c r="BE7" s="19">
        <v>18744.178</v>
      </c>
      <c r="BF7" s="202">
        <v>74144.311999999991</v>
      </c>
      <c r="BG7" s="19">
        <v>17831.125</v>
      </c>
      <c r="BH7" s="19">
        <v>16770.659</v>
      </c>
      <c r="BJ7" s="216"/>
    </row>
    <row r="8" spans="1:62" x14ac:dyDescent="0.4">
      <c r="A8" s="9" t="s">
        <v>204</v>
      </c>
      <c r="B8" s="9" t="s">
        <v>205</v>
      </c>
      <c r="D8" s="19"/>
      <c r="E8" s="19"/>
      <c r="F8" s="19"/>
      <c r="G8" s="19"/>
      <c r="H8" s="36"/>
      <c r="I8" s="19"/>
      <c r="J8" s="19"/>
      <c r="K8" s="19"/>
      <c r="L8" s="19"/>
      <c r="M8" s="36"/>
      <c r="N8" s="19"/>
      <c r="O8" s="19"/>
      <c r="P8" s="19">
        <v>32429.374699345997</v>
      </c>
      <c r="Q8" s="19">
        <v>49233.666599999997</v>
      </c>
      <c r="R8" s="36">
        <v>81663.040000000008</v>
      </c>
      <c r="S8" s="19">
        <v>49311.497237917989</v>
      </c>
      <c r="T8" s="19">
        <v>42701.722761899997</v>
      </c>
      <c r="U8" s="19">
        <v>48423.022204200002</v>
      </c>
      <c r="V8" s="19">
        <v>27101.194</v>
      </c>
      <c r="W8" s="36">
        <v>167537</v>
      </c>
      <c r="X8" s="19">
        <v>51951.93</v>
      </c>
      <c r="Y8" s="19">
        <v>48172.62</v>
      </c>
      <c r="Z8" s="19">
        <v>44758.89</v>
      </c>
      <c r="AA8" s="19">
        <v>51030.65</v>
      </c>
      <c r="AB8" s="36">
        <v>195915</v>
      </c>
      <c r="AC8" s="19">
        <v>50292.624383899994</v>
      </c>
      <c r="AD8" s="19">
        <v>47186.575723999995</v>
      </c>
      <c r="AE8" s="19">
        <v>50851.835730500003</v>
      </c>
      <c r="AF8" s="19">
        <v>48039.984161600005</v>
      </c>
      <c r="AG8" s="36">
        <v>196371.02</v>
      </c>
      <c r="AH8" s="19">
        <v>44038.177431200005</v>
      </c>
      <c r="AI8" s="19">
        <v>50570.69413850001</v>
      </c>
      <c r="AJ8" s="19">
        <v>49289.669000000002</v>
      </c>
      <c r="AK8" s="19">
        <v>39571.801545800001</v>
      </c>
      <c r="AL8" s="36">
        <v>183470.34211549998</v>
      </c>
      <c r="AM8" s="19">
        <v>48340.562353299996</v>
      </c>
      <c r="AN8" s="19">
        <v>37223</v>
      </c>
      <c r="AO8" s="19">
        <v>24359.47044035203</v>
      </c>
      <c r="AP8" s="19">
        <v>35870.525184099984</v>
      </c>
      <c r="AQ8" s="36">
        <v>145793.32518409999</v>
      </c>
      <c r="AR8" s="19">
        <v>29121.667962095999</v>
      </c>
      <c r="AS8" s="19">
        <v>35885.295299799996</v>
      </c>
      <c r="AT8" s="19">
        <v>15384</v>
      </c>
      <c r="AU8" s="19">
        <v>27997</v>
      </c>
      <c r="AV8" s="36">
        <v>108388</v>
      </c>
      <c r="AW8" s="19">
        <v>43467</v>
      </c>
      <c r="AX8" s="19">
        <v>42131</v>
      </c>
      <c r="AY8" s="19">
        <v>20573.705405929988</v>
      </c>
      <c r="AZ8" s="19">
        <v>38340.599349463984</v>
      </c>
      <c r="BA8" s="36">
        <v>144512.39058024797</v>
      </c>
      <c r="BB8" s="19">
        <v>34252.170051196001</v>
      </c>
      <c r="BC8" s="19">
        <v>45293.107707150011</v>
      </c>
      <c r="BD8" s="19">
        <v>36287.096352590008</v>
      </c>
      <c r="BE8" s="19">
        <v>46479.377694998002</v>
      </c>
      <c r="BF8" s="202">
        <v>162311.75180593401</v>
      </c>
      <c r="BG8" s="19">
        <v>22829.368353082005</v>
      </c>
      <c r="BH8" s="19">
        <v>40661.601703248001</v>
      </c>
      <c r="BJ8" s="216"/>
    </row>
    <row r="9" spans="1:62" x14ac:dyDescent="0.4">
      <c r="A9" s="9" t="s">
        <v>206</v>
      </c>
      <c r="B9" s="9" t="s">
        <v>207</v>
      </c>
      <c r="D9" s="19"/>
      <c r="E9" s="19"/>
      <c r="F9" s="19"/>
      <c r="G9" s="19"/>
      <c r="H9" s="36"/>
      <c r="I9" s="19"/>
      <c r="J9" s="19"/>
      <c r="K9" s="19"/>
      <c r="L9" s="19"/>
      <c r="M9" s="36"/>
      <c r="N9" s="19"/>
      <c r="O9" s="19"/>
      <c r="P9" s="19"/>
      <c r="Q9" s="19"/>
      <c r="R9" s="36"/>
      <c r="S9" s="19"/>
      <c r="T9" s="19"/>
      <c r="U9" s="19"/>
      <c r="V9" s="19">
        <v>1125</v>
      </c>
      <c r="W9" s="36">
        <v>1125</v>
      </c>
      <c r="X9" s="19">
        <v>11376.01</v>
      </c>
      <c r="Y9" s="19">
        <v>27909.96</v>
      </c>
      <c r="Z9" s="19">
        <v>28059.200000000001</v>
      </c>
      <c r="AA9" s="19">
        <v>4669.59</v>
      </c>
      <c r="AB9" s="36">
        <v>72015</v>
      </c>
      <c r="AC9" s="19">
        <v>5706.6711400000004</v>
      </c>
      <c r="AD9" s="19">
        <v>19126.75666000001</v>
      </c>
      <c r="AE9" s="19">
        <v>27842.613560000002</v>
      </c>
      <c r="AF9" s="19">
        <v>7198.4552399999802</v>
      </c>
      <c r="AG9" s="36">
        <v>59874.496599999999</v>
      </c>
      <c r="AH9" s="19">
        <v>0</v>
      </c>
      <c r="AI9" s="19">
        <v>0</v>
      </c>
      <c r="AJ9" s="19">
        <v>0</v>
      </c>
      <c r="AK9" s="19">
        <v>0</v>
      </c>
      <c r="AL9" s="36">
        <v>0</v>
      </c>
      <c r="AM9" s="19">
        <v>0</v>
      </c>
      <c r="AN9" s="19">
        <v>0</v>
      </c>
      <c r="AO9" s="19">
        <v>0</v>
      </c>
      <c r="AP9" s="19">
        <v>0</v>
      </c>
      <c r="AQ9" s="36">
        <v>0</v>
      </c>
      <c r="AR9" s="19">
        <v>0</v>
      </c>
      <c r="AS9" s="19">
        <v>0</v>
      </c>
      <c r="AT9" s="19">
        <v>0</v>
      </c>
      <c r="AU9" s="19">
        <v>0</v>
      </c>
      <c r="AV9" s="36">
        <v>0</v>
      </c>
      <c r="AW9" s="19">
        <v>0</v>
      </c>
      <c r="AX9" s="19">
        <v>0</v>
      </c>
      <c r="AY9" s="19">
        <v>0</v>
      </c>
      <c r="AZ9" s="19">
        <v>0</v>
      </c>
      <c r="BA9" s="36">
        <v>0</v>
      </c>
      <c r="BB9" s="19">
        <v>0</v>
      </c>
      <c r="BC9" s="19">
        <v>0</v>
      </c>
      <c r="BD9" s="19">
        <v>0</v>
      </c>
      <c r="BE9" s="19">
        <v>0</v>
      </c>
      <c r="BF9" s="202"/>
      <c r="BG9" s="19">
        <v>0</v>
      </c>
      <c r="BH9" s="19">
        <v>0</v>
      </c>
      <c r="BJ9" s="216"/>
    </row>
    <row r="10" spans="1:62" x14ac:dyDescent="0.4">
      <c r="A10" s="5" t="s">
        <v>208</v>
      </c>
      <c r="B10" s="5" t="s">
        <v>209</v>
      </c>
      <c r="C10" s="2"/>
      <c r="D10" s="19">
        <v>94369.36</v>
      </c>
      <c r="E10" s="19">
        <v>48624.75</v>
      </c>
      <c r="F10" s="19">
        <v>99233.47600000001</v>
      </c>
      <c r="G10" s="19">
        <v>82754.06</v>
      </c>
      <c r="H10" s="36">
        <v>324981.64600000001</v>
      </c>
      <c r="I10" s="19">
        <v>75081.66</v>
      </c>
      <c r="J10" s="19">
        <v>62134.09</v>
      </c>
      <c r="K10" s="19">
        <v>99128.200000000012</v>
      </c>
      <c r="L10" s="19">
        <v>100850.16</v>
      </c>
      <c r="M10" s="36">
        <v>337194.11</v>
      </c>
      <c r="N10" s="19">
        <v>85918.5</v>
      </c>
      <c r="O10" s="19">
        <v>51110.966</v>
      </c>
      <c r="P10" s="19">
        <v>97792.959999999992</v>
      </c>
      <c r="Q10" s="19">
        <v>91532.281999999992</v>
      </c>
      <c r="R10" s="36">
        <v>326354.70799999998</v>
      </c>
      <c r="S10" s="19">
        <v>67275.80799999999</v>
      </c>
      <c r="T10" s="19">
        <v>67628.767999999996</v>
      </c>
      <c r="U10" s="19">
        <v>94498.952000000005</v>
      </c>
      <c r="V10" s="19">
        <v>70516</v>
      </c>
      <c r="W10" s="36">
        <v>299919</v>
      </c>
      <c r="X10" s="19">
        <v>72970.790000000008</v>
      </c>
      <c r="Y10" s="19">
        <v>66896.009999999995</v>
      </c>
      <c r="Z10" s="19">
        <v>98845.73</v>
      </c>
      <c r="AA10" s="19">
        <v>86439.9</v>
      </c>
      <c r="AB10" s="36">
        <v>325152</v>
      </c>
      <c r="AC10" s="19">
        <v>86973.444000000003</v>
      </c>
      <c r="AD10" s="19">
        <v>81121.592000000004</v>
      </c>
      <c r="AE10" s="19">
        <v>64154.071999999993</v>
      </c>
      <c r="AF10" s="19">
        <v>98301.511999999988</v>
      </c>
      <c r="AG10" s="36">
        <v>330550.62</v>
      </c>
      <c r="AH10" s="19">
        <v>39335.94</v>
      </c>
      <c r="AI10" s="19">
        <v>0</v>
      </c>
      <c r="AJ10" s="19">
        <v>0</v>
      </c>
      <c r="AK10" s="19">
        <v>86539.959999999992</v>
      </c>
      <c r="AL10" s="36">
        <v>125875.9</v>
      </c>
      <c r="AM10" s="19">
        <v>95170.527999999977</v>
      </c>
      <c r="AN10" s="19">
        <v>88684.361999999994</v>
      </c>
      <c r="AO10" s="19">
        <v>91025.58</v>
      </c>
      <c r="AP10" s="19">
        <v>76672.53</v>
      </c>
      <c r="AQ10" s="36">
        <v>351552.99999999994</v>
      </c>
      <c r="AR10" s="19">
        <v>79306.34</v>
      </c>
      <c r="AS10" s="19">
        <v>0</v>
      </c>
      <c r="AT10" s="19">
        <v>48506</v>
      </c>
      <c r="AU10" s="19">
        <v>51826</v>
      </c>
      <c r="AV10" s="36">
        <v>179638</v>
      </c>
      <c r="AW10" s="19">
        <v>69398.55</v>
      </c>
      <c r="AX10" s="19">
        <v>83842</v>
      </c>
      <c r="AY10" s="19">
        <v>79250.459999999992</v>
      </c>
      <c r="AZ10" s="19">
        <v>73127.569999999992</v>
      </c>
      <c r="BA10" s="36">
        <v>305618.54000000004</v>
      </c>
      <c r="BB10" s="19">
        <v>63438.73</v>
      </c>
      <c r="BC10" s="19">
        <v>41299.54</v>
      </c>
      <c r="BD10" s="19">
        <v>69027.12</v>
      </c>
      <c r="BE10" s="19">
        <v>94487.23000000001</v>
      </c>
      <c r="BF10" s="202">
        <v>268252.62</v>
      </c>
      <c r="BG10" s="19">
        <v>69620.05</v>
      </c>
      <c r="BH10" s="19">
        <v>65277.38</v>
      </c>
      <c r="BJ10" s="216"/>
    </row>
    <row r="11" spans="1:62" x14ac:dyDescent="0.4">
      <c r="A11" s="9" t="s">
        <v>210</v>
      </c>
      <c r="B11" s="9" t="s">
        <v>211</v>
      </c>
      <c r="D11" s="19">
        <v>39386.057582200003</v>
      </c>
      <c r="E11" s="19">
        <v>24381.260000000002</v>
      </c>
      <c r="F11" s="19">
        <v>38371.429000000004</v>
      </c>
      <c r="G11" s="19">
        <v>27638.27</v>
      </c>
      <c r="H11" s="36">
        <v>129777.01658220001</v>
      </c>
      <c r="I11" s="19">
        <v>23288.762999999999</v>
      </c>
      <c r="J11" s="19">
        <v>27173.059999999998</v>
      </c>
      <c r="K11" s="19">
        <v>43036.34</v>
      </c>
      <c r="L11" s="19">
        <v>43329.979999999996</v>
      </c>
      <c r="M11" s="36">
        <v>136878.00599999999</v>
      </c>
      <c r="N11" s="19">
        <v>33276.17</v>
      </c>
      <c r="O11" s="19">
        <v>24507.431457999999</v>
      </c>
      <c r="P11" s="19">
        <v>41981.684224600001</v>
      </c>
      <c r="Q11" s="19">
        <v>34722.663373400006</v>
      </c>
      <c r="R11" s="36">
        <v>134487.94905600001</v>
      </c>
      <c r="S11" s="19">
        <v>27393.493036600001</v>
      </c>
      <c r="T11" s="19">
        <v>29652.1940024</v>
      </c>
      <c r="U11" s="19">
        <v>40521.695532799997</v>
      </c>
      <c r="V11" s="19">
        <v>37020</v>
      </c>
      <c r="W11" s="36">
        <v>134587</v>
      </c>
      <c r="X11" s="19">
        <v>34700.480000000003</v>
      </c>
      <c r="Y11" s="19">
        <v>33883.339999999997</v>
      </c>
      <c r="Z11" s="19">
        <v>40178.68</v>
      </c>
      <c r="AA11" s="19">
        <v>24108.36</v>
      </c>
      <c r="AB11" s="36">
        <v>132871.46000000002</v>
      </c>
      <c r="AC11" s="19">
        <v>35477.879000000001</v>
      </c>
      <c r="AD11" s="19">
        <v>33775.744386800012</v>
      </c>
      <c r="AE11" s="19">
        <v>41518.736679200003</v>
      </c>
      <c r="AF11" s="19">
        <v>37081.80785559996</v>
      </c>
      <c r="AG11" s="36">
        <v>147854.16792159999</v>
      </c>
      <c r="AH11" s="19">
        <v>35349.925311200001</v>
      </c>
      <c r="AI11" s="19">
        <v>35901.681906600003</v>
      </c>
      <c r="AJ11" s="19">
        <v>41726.135815799971</v>
      </c>
      <c r="AK11" s="19">
        <v>38967.398727400017</v>
      </c>
      <c r="AL11" s="36">
        <v>151945.14176099998</v>
      </c>
      <c r="AM11" s="19">
        <v>41545.966753199937</v>
      </c>
      <c r="AN11" s="19">
        <v>30272.929204599997</v>
      </c>
      <c r="AO11" s="19">
        <v>36596.80404220007</v>
      </c>
      <c r="AP11" s="19">
        <v>31649.885500799981</v>
      </c>
      <c r="AQ11" s="36">
        <v>140065.58550079999</v>
      </c>
      <c r="AR11" s="19">
        <v>31851.61799999998</v>
      </c>
      <c r="AS11" s="19">
        <v>29345</v>
      </c>
      <c r="AT11" s="19">
        <v>32057</v>
      </c>
      <c r="AU11" s="19">
        <v>19740</v>
      </c>
      <c r="AV11" s="36">
        <v>112994</v>
      </c>
      <c r="AW11" s="19">
        <v>21556.047522200002</v>
      </c>
      <c r="AX11" s="19">
        <v>28735</v>
      </c>
      <c r="AY11" s="19">
        <v>27947.901192000001</v>
      </c>
      <c r="AZ11" s="19">
        <v>10747.216990199999</v>
      </c>
      <c r="BA11" s="36">
        <v>88986.500114200026</v>
      </c>
      <c r="BB11" s="19">
        <v>36048.829559062637</v>
      </c>
      <c r="BC11" s="19">
        <v>31722.459999999992</v>
      </c>
      <c r="BD11" s="19">
        <v>25660.789999999997</v>
      </c>
      <c r="BE11" s="19">
        <v>32354.79</v>
      </c>
      <c r="BF11" s="202">
        <v>125786.86955906262</v>
      </c>
      <c r="BG11" s="19">
        <v>27868.28</v>
      </c>
      <c r="BH11" s="19">
        <v>22684.62</v>
      </c>
      <c r="BJ11" s="216"/>
    </row>
    <row r="12" spans="1:62" x14ac:dyDescent="0.4">
      <c r="A12" s="9" t="s">
        <v>212</v>
      </c>
      <c r="B12" s="9" t="s">
        <v>213</v>
      </c>
      <c r="D12" s="19"/>
      <c r="E12" s="19"/>
      <c r="F12" s="19"/>
      <c r="G12" s="19"/>
      <c r="H12" s="36"/>
      <c r="I12" s="19"/>
      <c r="J12" s="19"/>
      <c r="K12" s="19"/>
      <c r="L12" s="19"/>
      <c r="M12" s="36"/>
      <c r="N12" s="19"/>
      <c r="O12" s="19"/>
      <c r="P12" s="19"/>
      <c r="Q12" s="19"/>
      <c r="R12" s="36"/>
      <c r="S12" s="19"/>
      <c r="T12" s="19"/>
      <c r="U12" s="19"/>
      <c r="V12" s="19"/>
      <c r="W12" s="36"/>
      <c r="X12" s="19"/>
      <c r="Y12" s="19"/>
      <c r="Z12" s="19"/>
      <c r="AA12" s="19"/>
      <c r="AB12" s="36"/>
      <c r="AC12" s="19">
        <v>20305.074999999997</v>
      </c>
      <c r="AD12" s="19">
        <v>64482.197</v>
      </c>
      <c r="AE12" s="19">
        <v>60318.616999999998</v>
      </c>
      <c r="AF12" s="19">
        <v>69254.342999999993</v>
      </c>
      <c r="AG12" s="36">
        <v>214360.23200000002</v>
      </c>
      <c r="AH12" s="19">
        <v>56618.677000000011</v>
      </c>
      <c r="AI12" s="19">
        <v>79805.06</v>
      </c>
      <c r="AJ12" s="19">
        <v>75793.03</v>
      </c>
      <c r="AK12" s="19">
        <v>80901.582000000024</v>
      </c>
      <c r="AL12" s="36">
        <v>293118.35400000005</v>
      </c>
      <c r="AM12" s="19">
        <v>75387.309000000008</v>
      </c>
      <c r="AN12" s="19">
        <v>67194.047999999995</v>
      </c>
      <c r="AO12" s="19">
        <v>67315.070000000007</v>
      </c>
      <c r="AP12" s="19">
        <v>69588.057000000001</v>
      </c>
      <c r="AQ12" s="36">
        <v>279484.48400000005</v>
      </c>
      <c r="AR12" s="19">
        <v>62430.509999999995</v>
      </c>
      <c r="AS12" s="19">
        <v>64751.259999999995</v>
      </c>
      <c r="AT12" s="19">
        <v>40418</v>
      </c>
      <c r="AU12" s="19">
        <v>0</v>
      </c>
      <c r="AV12" s="36">
        <v>167599.44</v>
      </c>
      <c r="AW12" s="19">
        <v>20165.16</v>
      </c>
      <c r="AX12" s="19">
        <v>66292</v>
      </c>
      <c r="AY12" s="19">
        <v>60705.94</v>
      </c>
      <c r="AZ12" s="19">
        <v>57939.119999999995</v>
      </c>
      <c r="BA12" s="36">
        <v>205102.05</v>
      </c>
      <c r="BB12" s="19">
        <v>24535.690000000002</v>
      </c>
      <c r="BC12" s="19">
        <v>54744.619999999995</v>
      </c>
      <c r="BD12" s="19">
        <v>49916.06</v>
      </c>
      <c r="BE12" s="19">
        <v>55033.400000000009</v>
      </c>
      <c r="BF12" s="202">
        <v>184229.77000000002</v>
      </c>
      <c r="BG12" s="19">
        <v>53043.42</v>
      </c>
      <c r="BH12" s="19">
        <v>45409.16</v>
      </c>
      <c r="BJ12" s="216"/>
    </row>
    <row r="13" spans="1:62" x14ac:dyDescent="0.4">
      <c r="A13" s="9" t="s">
        <v>214</v>
      </c>
      <c r="B13" s="9" t="s">
        <v>215</v>
      </c>
      <c r="D13" s="19"/>
      <c r="E13" s="19"/>
      <c r="F13" s="19"/>
      <c r="G13" s="19"/>
      <c r="H13" s="36"/>
      <c r="I13" s="19"/>
      <c r="J13" s="19"/>
      <c r="K13" s="19"/>
      <c r="L13" s="19"/>
      <c r="M13" s="36"/>
      <c r="N13" s="19"/>
      <c r="O13" s="19"/>
      <c r="P13" s="19"/>
      <c r="Q13" s="19"/>
      <c r="R13" s="36"/>
      <c r="S13" s="19"/>
      <c r="T13" s="19"/>
      <c r="U13" s="19"/>
      <c r="V13" s="19"/>
      <c r="W13" s="36"/>
      <c r="X13" s="19"/>
      <c r="Y13" s="19"/>
      <c r="Z13" s="19"/>
      <c r="AA13" s="19"/>
      <c r="AB13" s="36"/>
      <c r="AC13" s="19"/>
      <c r="AD13" s="19">
        <v>60978.50712000006</v>
      </c>
      <c r="AE13" s="19">
        <v>67169.908599999995</v>
      </c>
      <c r="AF13" s="19">
        <v>67249.656479999918</v>
      </c>
      <c r="AG13" s="36">
        <v>195398.0722</v>
      </c>
      <c r="AH13" s="19">
        <v>65928.375799999994</v>
      </c>
      <c r="AI13" s="19">
        <v>70951.33</v>
      </c>
      <c r="AJ13" s="19">
        <v>75991.615000000034</v>
      </c>
      <c r="AK13" s="19">
        <v>76006.299197000015</v>
      </c>
      <c r="AL13" s="36">
        <v>288877.61999700003</v>
      </c>
      <c r="AM13" s="19">
        <v>76685.396290699995</v>
      </c>
      <c r="AN13" s="19">
        <v>69494.084200000027</v>
      </c>
      <c r="AO13" s="19">
        <v>70391.519509299978</v>
      </c>
      <c r="AP13" s="19">
        <v>60401.746908100002</v>
      </c>
      <c r="AQ13" s="36">
        <v>276972.74690809997</v>
      </c>
      <c r="AR13" s="19">
        <v>51349.607999999993</v>
      </c>
      <c r="AS13" s="19">
        <v>66872.703595700019</v>
      </c>
      <c r="AT13" s="19">
        <v>59636</v>
      </c>
      <c r="AU13" s="19">
        <v>0</v>
      </c>
      <c r="AV13" s="36">
        <v>177858.4105957</v>
      </c>
      <c r="AW13" s="19">
        <v>31657.501026899994</v>
      </c>
      <c r="AX13" s="19">
        <v>70435</v>
      </c>
      <c r="AY13" s="19">
        <v>61550.979517399981</v>
      </c>
      <c r="AZ13" s="19">
        <v>70405.37</v>
      </c>
      <c r="BA13" s="36">
        <v>234049.07654429995</v>
      </c>
      <c r="BB13" s="19">
        <v>56345.751811303002</v>
      </c>
      <c r="BC13" s="19">
        <v>59590.87</v>
      </c>
      <c r="BD13" s="19">
        <v>60813.90898663133</v>
      </c>
      <c r="BE13" s="19">
        <v>60023.773125655236</v>
      </c>
      <c r="BF13" s="202">
        <v>236774.30392358958</v>
      </c>
      <c r="BG13" s="19">
        <v>57330.931574501563</v>
      </c>
      <c r="BH13" s="19">
        <v>47274.347090063849</v>
      </c>
      <c r="BJ13" s="216"/>
    </row>
    <row r="14" spans="1:62" x14ac:dyDescent="0.4">
      <c r="A14" s="20" t="s">
        <v>216</v>
      </c>
      <c r="B14" s="20" t="s">
        <v>217</v>
      </c>
      <c r="C14" s="30"/>
      <c r="D14" s="100">
        <v>167895.21758220001</v>
      </c>
      <c r="E14" s="100">
        <v>107875.41</v>
      </c>
      <c r="F14" s="100">
        <v>183107.90500000003</v>
      </c>
      <c r="G14" s="100">
        <v>156518.03</v>
      </c>
      <c r="H14" s="101">
        <v>615396.56258219993</v>
      </c>
      <c r="I14" s="100">
        <v>139573.02300000002</v>
      </c>
      <c r="J14" s="100">
        <v>98578.45</v>
      </c>
      <c r="K14" s="100">
        <v>195321.24000000002</v>
      </c>
      <c r="L14" s="100">
        <v>194863.74</v>
      </c>
      <c r="M14" s="101">
        <v>628386.31599999999</v>
      </c>
      <c r="N14" s="100">
        <v>211044.80000000002</v>
      </c>
      <c r="O14" s="100">
        <v>154741.057458</v>
      </c>
      <c r="P14" s="100">
        <v>260105.941923946</v>
      </c>
      <c r="Q14" s="100">
        <v>258256.9049734</v>
      </c>
      <c r="R14" s="101">
        <v>884149.00305599999</v>
      </c>
      <c r="S14" s="100">
        <v>227548.86627451799</v>
      </c>
      <c r="T14" s="100">
        <v>219920.16676429997</v>
      </c>
      <c r="U14" s="100">
        <v>267631.73373699997</v>
      </c>
      <c r="V14" s="100">
        <v>208835.19399999999</v>
      </c>
      <c r="W14" s="101">
        <v>923935</v>
      </c>
      <c r="X14" s="100">
        <f>SUM(X5:X11)</f>
        <v>247222.80000000002</v>
      </c>
      <c r="Y14" s="100">
        <f>SUM(Y5:Y11)</f>
        <v>235429.05999999997</v>
      </c>
      <c r="Z14" s="100">
        <f>SUM(Z5:Z11)</f>
        <v>300761.3</v>
      </c>
      <c r="AA14" s="100">
        <v>263748.58999999997</v>
      </c>
      <c r="AB14" s="101">
        <v>1047163.46</v>
      </c>
      <c r="AC14" s="100">
        <v>258436.2645239</v>
      </c>
      <c r="AD14" s="100">
        <v>354508.4078908001</v>
      </c>
      <c r="AE14" s="100">
        <v>384170.36699849996</v>
      </c>
      <c r="AF14" s="100">
        <v>424339.46873719979</v>
      </c>
      <c r="AG14" s="101">
        <v>1421446.3187216001</v>
      </c>
      <c r="AH14" s="100">
        <v>325758.30154239998</v>
      </c>
      <c r="AI14" s="100">
        <v>331696.66404510004</v>
      </c>
      <c r="AJ14" s="100">
        <v>344787.39881580003</v>
      </c>
      <c r="AK14" s="100">
        <v>427956.52347020002</v>
      </c>
      <c r="AL14" s="101">
        <v>1430198.8928735002</v>
      </c>
      <c r="AM14" s="100">
        <v>440684.07839719986</v>
      </c>
      <c r="AN14" s="100">
        <v>382440.27940460003</v>
      </c>
      <c r="AO14" s="100">
        <v>366723.20599185221</v>
      </c>
      <c r="AP14" s="100">
        <v>291598.71259299997</v>
      </c>
      <c r="AQ14" s="101">
        <v>1481446.0435929997</v>
      </c>
      <c r="AR14" s="100">
        <v>305607.58696209599</v>
      </c>
      <c r="AS14" s="100">
        <v>250145.25889550004</v>
      </c>
      <c r="AT14" s="100">
        <v>250806.84923243994</v>
      </c>
      <c r="AU14" s="100">
        <v>140690</v>
      </c>
      <c r="AV14" s="101">
        <v>947249</v>
      </c>
      <c r="AW14" s="100">
        <v>232483.0185491</v>
      </c>
      <c r="AX14" s="100">
        <v>311227</v>
      </c>
      <c r="AY14" s="100">
        <v>308425.95911532996</v>
      </c>
      <c r="AZ14" s="100">
        <v>314953.24833966396</v>
      </c>
      <c r="BA14" s="101">
        <v>1167088.984238748</v>
      </c>
      <c r="BB14" s="100">
        <v>277434.68542156165</v>
      </c>
      <c r="BC14" s="100">
        <v>302521.31457843835</v>
      </c>
      <c r="BD14" s="100">
        <v>315102.76633922133</v>
      </c>
      <c r="BE14" s="100">
        <v>345991.38282065326</v>
      </c>
      <c r="BF14" s="203">
        <v>1241049.8742885862</v>
      </c>
      <c r="BG14" s="100">
        <v>262964.96492758358</v>
      </c>
      <c r="BH14" s="100">
        <v>254224.33679331184</v>
      </c>
      <c r="BJ14" s="216"/>
    </row>
    <row r="15" spans="1:62" x14ac:dyDescent="0.4">
      <c r="A15" s="17" t="s">
        <v>218</v>
      </c>
      <c r="B15" s="17" t="s">
        <v>219</v>
      </c>
      <c r="D15" s="43">
        <v>98.163202605404649</v>
      </c>
      <c r="E15" s="43">
        <v>103.79689235943576</v>
      </c>
      <c r="F15" s="43">
        <v>109.10578797785926</v>
      </c>
      <c r="G15" s="43">
        <v>105.66918241517182</v>
      </c>
      <c r="H15" s="102">
        <v>104.31570958727706</v>
      </c>
      <c r="I15" s="43">
        <v>93.822803135818006</v>
      </c>
      <c r="J15" s="43">
        <v>85.95657265862873</v>
      </c>
      <c r="K15" s="43">
        <v>96.074025180262026</v>
      </c>
      <c r="L15" s="43">
        <v>105.49178246296621</v>
      </c>
      <c r="M15" s="102">
        <v>96.899657754603822</v>
      </c>
      <c r="N15" s="43">
        <v>114.78567607446381</v>
      </c>
      <c r="O15" s="43">
        <v>97.590369860945259</v>
      </c>
      <c r="P15" s="43">
        <v>98.940710464526163</v>
      </c>
      <c r="Q15" s="43">
        <v>108.0880351532459</v>
      </c>
      <c r="R15" s="102">
        <v>106.3178258511021</v>
      </c>
      <c r="S15" s="43">
        <v>104.57745568941489</v>
      </c>
      <c r="T15" s="43">
        <v>110.62869712205698</v>
      </c>
      <c r="U15" s="43">
        <v>106.90616198793646</v>
      </c>
      <c r="V15" s="43">
        <v>90.510290304140085</v>
      </c>
      <c r="W15" s="102">
        <v>104.17528994427251</v>
      </c>
      <c r="X15" s="43">
        <v>97.038571769200075</v>
      </c>
      <c r="Y15" s="43">
        <v>104.99261484289158</v>
      </c>
      <c r="Z15" s="43">
        <v>105.64246896990804</v>
      </c>
      <c r="AA15" s="43">
        <v>87.79701150250699</v>
      </c>
      <c r="AB15" s="102">
        <v>99.775726914688192</v>
      </c>
      <c r="AC15" s="43">
        <v>96.586735170410194</v>
      </c>
      <c r="AD15" s="43">
        <v>97.550622806815142</v>
      </c>
      <c r="AE15" s="43">
        <v>100.14701623290539</v>
      </c>
      <c r="AF15" s="43">
        <v>94.033932499246589</v>
      </c>
      <c r="AG15" s="102">
        <v>97.027833477412173</v>
      </c>
      <c r="AH15" s="43">
        <v>102.74833329585364</v>
      </c>
      <c r="AI15" s="43">
        <v>95.596030039327175</v>
      </c>
      <c r="AJ15" s="43">
        <v>68.894629216685459</v>
      </c>
      <c r="AK15" s="43">
        <v>63.736276990995158</v>
      </c>
      <c r="AL15" s="102">
        <v>81.257468663331593</v>
      </c>
      <c r="AM15" s="43">
        <v>149.01831770016875</v>
      </c>
      <c r="AN15" s="43">
        <v>128.29977029718128</v>
      </c>
      <c r="AO15" s="43">
        <v>137.22611271324374</v>
      </c>
      <c r="AP15" s="43">
        <v>164.95614665877193</v>
      </c>
      <c r="AQ15" s="102">
        <v>150.79620696693704</v>
      </c>
      <c r="AR15" s="43">
        <v>151.39022057635725</v>
      </c>
      <c r="AS15" s="43">
        <v>148.07396375828864</v>
      </c>
      <c r="AT15" s="43">
        <v>117.32125075852561</v>
      </c>
      <c r="AU15" s="43">
        <v>233.83325040870002</v>
      </c>
      <c r="AV15" s="102">
        <v>153.73887963988349</v>
      </c>
      <c r="AW15" s="43">
        <v>152.72513330904295</v>
      </c>
      <c r="AX15" s="43">
        <v>122.34157062208614</v>
      </c>
      <c r="AY15" s="43">
        <v>136.60328761187557</v>
      </c>
      <c r="AZ15" s="43">
        <v>155.06110909302745</v>
      </c>
      <c r="BA15" s="102">
        <v>140.99267684145863</v>
      </c>
      <c r="BB15" s="43">
        <v>159.50295714740813</v>
      </c>
      <c r="BC15" s="43">
        <v>125.03136446008249</v>
      </c>
      <c r="BD15" s="43">
        <v>130.50870107477462</v>
      </c>
      <c r="BE15" s="43">
        <v>136.12544418313925</v>
      </c>
      <c r="BF15" s="204">
        <v>137.22106775734613</v>
      </c>
      <c r="BG15" s="43">
        <v>122.74093189139647</v>
      </c>
      <c r="BH15" s="43">
        <v>143.76894577058269</v>
      </c>
      <c r="BJ15" s="216"/>
    </row>
    <row r="16" spans="1:62" x14ac:dyDescent="0.4">
      <c r="A16" s="17" t="s">
        <v>220</v>
      </c>
      <c r="B16" s="17" t="s">
        <v>221</v>
      </c>
      <c r="C16" s="103"/>
      <c r="D16" s="43">
        <v>7.76586774</v>
      </c>
      <c r="E16" s="43">
        <v>7.7658676799999995</v>
      </c>
      <c r="F16" s="43">
        <v>7.76586774</v>
      </c>
      <c r="G16" s="43">
        <v>7.7658677366666673</v>
      </c>
      <c r="H16" s="102">
        <v>31.063470896666669</v>
      </c>
      <c r="I16" s="43">
        <v>7.8</v>
      </c>
      <c r="J16" s="43">
        <v>6.9</v>
      </c>
      <c r="K16" s="43">
        <v>7.3197022699999987</v>
      </c>
      <c r="L16" s="43">
        <v>11.228476729999999</v>
      </c>
      <c r="M16" s="102">
        <v>33.187581041923679</v>
      </c>
      <c r="N16" s="43">
        <v>9.4496384100000004</v>
      </c>
      <c r="O16" s="43">
        <v>9.4077629700000003</v>
      </c>
      <c r="P16" s="43">
        <v>9.9549333100000013</v>
      </c>
      <c r="Q16" s="43">
        <v>0</v>
      </c>
      <c r="R16" s="102">
        <v>39.040853266666673</v>
      </c>
      <c r="S16" s="43">
        <v>10.228518520000002</v>
      </c>
      <c r="T16" s="43">
        <v>10.22851848</v>
      </c>
      <c r="U16" s="43">
        <v>10.228518520000002</v>
      </c>
      <c r="V16" s="43">
        <v>11.979265965338593</v>
      </c>
      <c r="W16" s="102">
        <v>42.664821485338599</v>
      </c>
      <c r="X16" s="43">
        <v>15.867662489999999</v>
      </c>
      <c r="Y16" s="43">
        <v>15.867662039999999</v>
      </c>
      <c r="Z16" s="43">
        <v>15.867662039999999</v>
      </c>
      <c r="AA16" s="43">
        <v>15.86766201</v>
      </c>
      <c r="AB16" s="102">
        <v>63.470648580000002</v>
      </c>
      <c r="AC16" s="43">
        <v>15.870484960000001</v>
      </c>
      <c r="AD16" s="43">
        <v>15.870484019999999</v>
      </c>
      <c r="AE16" s="43">
        <v>15.870484019999999</v>
      </c>
      <c r="AF16" s="43">
        <v>15.310691039999998</v>
      </c>
      <c r="AG16" s="102">
        <v>62.922143290000001</v>
      </c>
      <c r="AH16" s="43">
        <v>10.23011574</v>
      </c>
      <c r="AI16" s="43">
        <v>10.23011574</v>
      </c>
      <c r="AJ16" s="43">
        <v>8.8130000000000006</v>
      </c>
      <c r="AK16" s="43">
        <v>8.5636444800000007</v>
      </c>
      <c r="AL16" s="102">
        <v>37.836658280000002</v>
      </c>
      <c r="AM16" s="43">
        <v>10.23</v>
      </c>
      <c r="AN16" s="43">
        <v>10.23</v>
      </c>
      <c r="AO16" s="43">
        <v>10.23</v>
      </c>
      <c r="AP16" s="43">
        <v>10.23</v>
      </c>
      <c r="AQ16" s="102">
        <f>SUM(AM16:AP16)</f>
        <v>40.92</v>
      </c>
      <c r="AR16" s="43">
        <v>6.1669999999999998</v>
      </c>
      <c r="AS16" s="43">
        <v>6.2330000000000005</v>
      </c>
      <c r="AT16" s="43">
        <v>6.2</v>
      </c>
      <c r="AU16" s="43">
        <v>6.2</v>
      </c>
      <c r="AV16" s="102">
        <v>24.8</v>
      </c>
      <c r="AW16" s="43">
        <v>6.1870000000000003</v>
      </c>
      <c r="AX16" s="43">
        <v>6.0880000000000001</v>
      </c>
      <c r="AY16" s="43">
        <v>6.1870000000000003</v>
      </c>
      <c r="AZ16" s="43">
        <v>6.1870000000000003</v>
      </c>
      <c r="BA16" s="102">
        <v>24.649000000000001</v>
      </c>
      <c r="BB16" s="43">
        <v>6.4343472599999991</v>
      </c>
      <c r="BC16" s="43">
        <v>6.4343472599999991</v>
      </c>
      <c r="BD16" s="43">
        <v>6.4343472599999991</v>
      </c>
      <c r="BE16" s="43">
        <v>6.3587693300000003</v>
      </c>
      <c r="BF16" s="204">
        <v>25.661811109999999</v>
      </c>
      <c r="BG16" s="43">
        <v>6.0374351500000003</v>
      </c>
      <c r="BH16" s="43">
        <v>6.0374351100000005</v>
      </c>
      <c r="BJ16" s="216"/>
    </row>
    <row r="17" spans="1:62" x14ac:dyDescent="0.4">
      <c r="A17" s="29" t="s">
        <v>222</v>
      </c>
      <c r="B17" s="29" t="s">
        <v>223</v>
      </c>
      <c r="C17" s="5"/>
      <c r="D17" s="104">
        <v>24.59</v>
      </c>
      <c r="E17" s="104">
        <v>19.390999999999998</v>
      </c>
      <c r="F17" s="104">
        <v>28.079000000000001</v>
      </c>
      <c r="G17" s="104">
        <v>24.946000000000002</v>
      </c>
      <c r="H17" s="105">
        <v>97.006</v>
      </c>
      <c r="I17" s="104">
        <v>22.526</v>
      </c>
      <c r="J17" s="104">
        <v>15.513999999999999</v>
      </c>
      <c r="K17" s="104">
        <v>26.151</v>
      </c>
      <c r="L17" s="104">
        <v>31.792000000000002</v>
      </c>
      <c r="M17" s="105">
        <v>95.983000000000004</v>
      </c>
      <c r="N17" s="104">
        <v>33.637</v>
      </c>
      <c r="O17" s="104">
        <v>24.597000000000001</v>
      </c>
      <c r="P17" s="104">
        <v>36.485999999999997</v>
      </c>
      <c r="Q17" s="104">
        <v>38.323000000000008</v>
      </c>
      <c r="R17" s="105">
        <v>133.04300000000001</v>
      </c>
      <c r="S17" s="104">
        <v>34.024999999999999</v>
      </c>
      <c r="T17" s="104">
        <v>34.830999999999996</v>
      </c>
      <c r="U17" s="104">
        <v>39.093000000000004</v>
      </c>
      <c r="V17" s="104">
        <v>30.968000000000004</v>
      </c>
      <c r="W17" s="105">
        <v>138.917</v>
      </c>
      <c r="X17" s="104">
        <v>40.037999999999997</v>
      </c>
      <c r="Y17" s="104">
        <v>40.78</v>
      </c>
      <c r="Z17" s="104">
        <v>47.868000000000009</v>
      </c>
      <c r="AA17" s="104">
        <v>39.266999999999996</v>
      </c>
      <c r="AB17" s="105">
        <v>167.953</v>
      </c>
      <c r="AC17" s="104">
        <v>41.041000000000004</v>
      </c>
      <c r="AD17" s="104">
        <v>50.768000000000001</v>
      </c>
      <c r="AE17" s="104">
        <v>54.637999999999991</v>
      </c>
      <c r="AF17" s="104">
        <v>55.369</v>
      </c>
      <c r="AG17" s="105">
        <v>201.816</v>
      </c>
      <c r="AH17" s="104">
        <v>43.865000000000002</v>
      </c>
      <c r="AI17" s="104">
        <v>42.15</v>
      </c>
      <c r="AJ17" s="104">
        <v>32.790999999999997</v>
      </c>
      <c r="AK17" s="104">
        <v>36.077999999999989</v>
      </c>
      <c r="AL17" s="105">
        <v>154.88399999999999</v>
      </c>
      <c r="AM17" s="104">
        <v>76.162999999999997</v>
      </c>
      <c r="AN17" s="104">
        <v>59.297000000000004</v>
      </c>
      <c r="AO17" s="104">
        <v>60.616000000000014</v>
      </c>
      <c r="AP17" s="104">
        <v>58.330999999999989</v>
      </c>
      <c r="AQ17" s="106">
        <v>254.08199999999999</v>
      </c>
      <c r="AR17" s="104">
        <v>52.432999999999993</v>
      </c>
      <c r="AS17" s="104">
        <v>43.27300000000001</v>
      </c>
      <c r="AT17" s="104">
        <v>35.624999999999986</v>
      </c>
      <c r="AU17" s="104">
        <v>39.098000000000013</v>
      </c>
      <c r="AV17" s="106">
        <v>170.429</v>
      </c>
      <c r="AW17" s="104">
        <v>41.692999999999998</v>
      </c>
      <c r="AX17" s="104">
        <v>44.164000000000001</v>
      </c>
      <c r="AY17" s="104">
        <v>48.318999999999988</v>
      </c>
      <c r="AZ17" s="104">
        <v>55.024000000000001</v>
      </c>
      <c r="BA17" s="106">
        <v>189.2</v>
      </c>
      <c r="BB17" s="104">
        <v>50.686</v>
      </c>
      <c r="BC17" s="104">
        <v>44.258999999999993</v>
      </c>
      <c r="BD17" s="104">
        <v>47.557999999999993</v>
      </c>
      <c r="BE17" s="104">
        <v>53.457000000000001</v>
      </c>
      <c r="BF17" s="205">
        <v>195.96</v>
      </c>
      <c r="BG17" s="104">
        <v>38.314</v>
      </c>
      <c r="BH17" s="104">
        <v>42.587000000000003</v>
      </c>
      <c r="BJ17" s="216"/>
    </row>
    <row r="18" spans="1:62" ht="16.5" thickBot="1" x14ac:dyDescent="0.45">
      <c r="A18" s="30"/>
      <c r="B18" s="30"/>
      <c r="C18" s="5"/>
      <c r="D18" s="107"/>
      <c r="E18" s="107"/>
      <c r="F18" s="107"/>
      <c r="G18" s="107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107"/>
      <c r="AN18" s="107"/>
      <c r="AO18" s="107"/>
      <c r="AP18" s="107"/>
      <c r="AQ18" s="68"/>
      <c r="AR18" s="107"/>
      <c r="AS18" s="107"/>
      <c r="AT18" s="107"/>
      <c r="AU18" s="107"/>
      <c r="AV18" s="68"/>
      <c r="AW18" s="107"/>
      <c r="AX18" s="107"/>
      <c r="AY18" s="107"/>
      <c r="AZ18" s="107"/>
      <c r="BA18" s="68"/>
      <c r="BB18" s="107"/>
      <c r="BC18" s="107"/>
      <c r="BF18" s="68"/>
      <c r="BJ18" s="216"/>
    </row>
    <row r="19" spans="1:62" ht="16.5" thickBot="1" x14ac:dyDescent="0.45">
      <c r="A19" s="1" t="s">
        <v>79</v>
      </c>
      <c r="B19" s="92" t="s">
        <v>224</v>
      </c>
      <c r="C19" s="39"/>
      <c r="D19" s="3" t="str">
        <f>D1</f>
        <v>1T15</v>
      </c>
      <c r="E19" s="3" t="str">
        <f>E1</f>
        <v>2T15</v>
      </c>
      <c r="F19" s="3" t="str">
        <f>F1</f>
        <v>3T15</v>
      </c>
      <c r="G19" s="3" t="str">
        <f>G1</f>
        <v>4T15</v>
      </c>
      <c r="H19" s="4">
        <f>H1</f>
        <v>2015</v>
      </c>
      <c r="I19" s="3" t="str">
        <f t="shared" ref="I19:AT19" si="2">I1</f>
        <v>1T16</v>
      </c>
      <c r="J19" s="3" t="str">
        <f t="shared" si="2"/>
        <v>2T16</v>
      </c>
      <c r="K19" s="3" t="str">
        <f t="shared" si="2"/>
        <v>3T16</v>
      </c>
      <c r="L19" s="3" t="str">
        <f t="shared" si="2"/>
        <v>4T16</v>
      </c>
      <c r="M19" s="4">
        <f t="shared" si="2"/>
        <v>2016</v>
      </c>
      <c r="N19" s="3" t="str">
        <f t="shared" si="2"/>
        <v>1T17</v>
      </c>
      <c r="O19" s="3" t="str">
        <f t="shared" si="2"/>
        <v>2T17</v>
      </c>
      <c r="P19" s="3" t="str">
        <f t="shared" si="2"/>
        <v>3T17</v>
      </c>
      <c r="Q19" s="3" t="str">
        <f t="shared" si="2"/>
        <v>4T17</v>
      </c>
      <c r="R19" s="4">
        <f t="shared" si="2"/>
        <v>2017</v>
      </c>
      <c r="S19" s="3" t="str">
        <f t="shared" si="2"/>
        <v>1T18</v>
      </c>
      <c r="T19" s="3" t="str">
        <f t="shared" si="2"/>
        <v>2T18</v>
      </c>
      <c r="U19" s="3" t="str">
        <f t="shared" si="2"/>
        <v>3T18</v>
      </c>
      <c r="V19" s="3" t="str">
        <f t="shared" si="2"/>
        <v>4T18</v>
      </c>
      <c r="W19" s="4">
        <f t="shared" si="2"/>
        <v>2018</v>
      </c>
      <c r="X19" s="3" t="str">
        <f t="shared" si="2"/>
        <v>1T19</v>
      </c>
      <c r="Y19" s="3" t="str">
        <f t="shared" si="2"/>
        <v>2T19</v>
      </c>
      <c r="Z19" s="3" t="str">
        <f t="shared" si="2"/>
        <v>3T19</v>
      </c>
      <c r="AA19" s="3" t="str">
        <f t="shared" si="2"/>
        <v>4T19</v>
      </c>
      <c r="AB19" s="4">
        <f t="shared" si="2"/>
        <v>2019</v>
      </c>
      <c r="AC19" s="3" t="str">
        <f t="shared" si="2"/>
        <v>1T20</v>
      </c>
      <c r="AD19" s="3" t="str">
        <f t="shared" si="2"/>
        <v>2T20</v>
      </c>
      <c r="AE19" s="3" t="str">
        <f t="shared" si="2"/>
        <v>3T20</v>
      </c>
      <c r="AF19" s="3" t="str">
        <f t="shared" si="2"/>
        <v>4T20</v>
      </c>
      <c r="AG19" s="4">
        <f t="shared" si="2"/>
        <v>2020</v>
      </c>
      <c r="AH19" s="3" t="str">
        <f t="shared" si="2"/>
        <v>1T21</v>
      </c>
      <c r="AI19" s="3" t="str">
        <f t="shared" si="2"/>
        <v>2T21</v>
      </c>
      <c r="AJ19" s="3" t="str">
        <f t="shared" si="2"/>
        <v>3T21</v>
      </c>
      <c r="AK19" s="3" t="str">
        <f t="shared" si="2"/>
        <v>4T21</v>
      </c>
      <c r="AL19" s="4">
        <f t="shared" si="2"/>
        <v>2021</v>
      </c>
      <c r="AM19" s="3" t="str">
        <f t="shared" si="2"/>
        <v>1T22</v>
      </c>
      <c r="AN19" s="3" t="str">
        <f t="shared" si="2"/>
        <v>2T22</v>
      </c>
      <c r="AO19" s="3" t="str">
        <f t="shared" si="2"/>
        <v>3T22</v>
      </c>
      <c r="AP19" s="3" t="str">
        <f t="shared" si="2"/>
        <v>4T22</v>
      </c>
      <c r="AQ19" s="4">
        <f t="shared" si="2"/>
        <v>2022</v>
      </c>
      <c r="AR19" s="3" t="str">
        <f t="shared" si="2"/>
        <v>1T23</v>
      </c>
      <c r="AS19" s="3" t="str">
        <f t="shared" si="2"/>
        <v>2T23</v>
      </c>
      <c r="AT19" s="3" t="str">
        <f t="shared" si="2"/>
        <v>3T23</v>
      </c>
      <c r="AU19" s="3" t="s">
        <v>37</v>
      </c>
      <c r="AV19" s="4">
        <v>2023</v>
      </c>
      <c r="AW19" s="3" t="str">
        <f>AW1</f>
        <v>1T24</v>
      </c>
      <c r="AX19" s="3" t="str">
        <f t="shared" ref="AX19:BB19" si="3">AX1</f>
        <v>2T24</v>
      </c>
      <c r="AY19" s="3" t="str">
        <f t="shared" si="3"/>
        <v>3T24</v>
      </c>
      <c r="AZ19" s="3" t="str">
        <f t="shared" si="3"/>
        <v>4T24</v>
      </c>
      <c r="BA19" s="4">
        <f t="shared" si="3"/>
        <v>2024</v>
      </c>
      <c r="BB19" s="3" t="str">
        <f t="shared" si="3"/>
        <v>1T25</v>
      </c>
      <c r="BC19" s="3" t="s">
        <v>383</v>
      </c>
      <c r="BD19" s="3" t="s">
        <v>384</v>
      </c>
      <c r="BE19" s="3" t="s">
        <v>385</v>
      </c>
      <c r="BF19" s="4">
        <v>2025</v>
      </c>
      <c r="BG19" s="3" t="s">
        <v>386</v>
      </c>
      <c r="BH19" s="3" t="s">
        <v>387</v>
      </c>
      <c r="BJ19" s="216"/>
    </row>
    <row r="20" spans="1:62" x14ac:dyDescent="0.4">
      <c r="A20" s="17" t="s">
        <v>225</v>
      </c>
      <c r="B20" s="17" t="s">
        <v>226</v>
      </c>
      <c r="C20" s="9"/>
      <c r="D20" s="108"/>
      <c r="E20" s="108"/>
      <c r="F20" s="108"/>
      <c r="G20" s="108"/>
      <c r="H20" s="109"/>
      <c r="I20" s="108"/>
      <c r="J20" s="108"/>
      <c r="K20" s="108"/>
      <c r="L20" s="108"/>
      <c r="M20" s="109"/>
      <c r="N20" s="108"/>
      <c r="O20" s="108"/>
      <c r="P20" s="108"/>
      <c r="Q20" s="108"/>
      <c r="R20" s="109"/>
      <c r="S20" s="108"/>
      <c r="T20" s="108"/>
      <c r="U20" s="108"/>
      <c r="V20" s="108"/>
      <c r="W20" s="109"/>
      <c r="X20" s="108"/>
      <c r="Y20" s="108"/>
      <c r="Z20" s="108"/>
      <c r="AA20" s="108"/>
      <c r="AB20" s="109"/>
      <c r="AC20" s="108"/>
      <c r="AD20" s="108"/>
      <c r="AE20" s="108"/>
      <c r="AF20" s="108"/>
      <c r="AG20" s="109"/>
      <c r="AH20" s="108"/>
      <c r="AI20" s="108"/>
      <c r="AJ20" s="108"/>
      <c r="AK20" s="108"/>
      <c r="AL20" s="109"/>
      <c r="AM20" s="108">
        <v>75.900000000000006</v>
      </c>
      <c r="AN20" s="108">
        <v>59.297000000000004</v>
      </c>
      <c r="AO20" s="108">
        <v>60.554000000000002</v>
      </c>
      <c r="AP20" s="108">
        <v>58.330999999999989</v>
      </c>
      <c r="AQ20" s="109">
        <v>254.08199999999999</v>
      </c>
      <c r="AR20" s="108">
        <v>52.432999999999993</v>
      </c>
      <c r="AS20" s="108">
        <v>43.27300000000001</v>
      </c>
      <c r="AT20" s="108">
        <v>35.624999999999986</v>
      </c>
      <c r="AU20" s="108">
        <v>38.611000000000018</v>
      </c>
      <c r="AV20" s="109">
        <v>169.94200000000001</v>
      </c>
      <c r="AW20" s="108">
        <v>41.692999999999998</v>
      </c>
      <c r="AX20" s="108">
        <v>44.164000000000001</v>
      </c>
      <c r="AY20" s="108">
        <v>48.318999999999988</v>
      </c>
      <c r="AZ20" s="108">
        <v>55.024000000000001</v>
      </c>
      <c r="BA20" s="109">
        <v>189.2</v>
      </c>
      <c r="BB20" s="108">
        <v>50.686</v>
      </c>
      <c r="BC20" s="108">
        <v>44.258999999999993</v>
      </c>
      <c r="BD20" s="108">
        <v>47.557999999999993</v>
      </c>
      <c r="BE20" s="108">
        <v>53.457000000000001</v>
      </c>
      <c r="BF20" s="171">
        <v>195.96</v>
      </c>
      <c r="BG20" s="108">
        <v>38.314</v>
      </c>
      <c r="BH20" s="108">
        <v>42.587000000000003</v>
      </c>
      <c r="BJ20" s="216"/>
    </row>
    <row r="21" spans="1:62" ht="16.5" thickBot="1" x14ac:dyDescent="0.45">
      <c r="A21" s="17" t="s">
        <v>77</v>
      </c>
      <c r="B21" s="17" t="s">
        <v>78</v>
      </c>
      <c r="C21" s="21"/>
      <c r="D21" s="6"/>
      <c r="E21" s="6"/>
      <c r="F21" s="6"/>
      <c r="G21" s="6"/>
      <c r="H21" s="7"/>
      <c r="I21" s="6"/>
      <c r="J21" s="6"/>
      <c r="K21" s="6"/>
      <c r="L21" s="6"/>
      <c r="M21" s="7"/>
      <c r="N21" s="6"/>
      <c r="O21" s="6"/>
      <c r="P21" s="6"/>
      <c r="Q21" s="6"/>
      <c r="R21" s="158"/>
      <c r="S21" s="6"/>
      <c r="T21" s="6"/>
      <c r="U21" s="6"/>
      <c r="V21" s="6"/>
      <c r="W21" s="158"/>
      <c r="X21" s="6"/>
      <c r="Y21" s="6"/>
      <c r="Z21" s="6"/>
      <c r="AA21" s="6"/>
      <c r="AB21" s="158"/>
      <c r="AC21" s="6"/>
      <c r="AD21" s="6"/>
      <c r="AE21" s="6"/>
      <c r="AF21" s="6"/>
      <c r="AG21" s="158"/>
      <c r="AH21" s="6"/>
      <c r="AI21" s="6"/>
      <c r="AJ21" s="6"/>
      <c r="AK21" s="6"/>
      <c r="AL21" s="158"/>
      <c r="AM21" s="6">
        <v>0.26299999999999102</v>
      </c>
      <c r="AN21" s="6">
        <v>39.765999999999998</v>
      </c>
      <c r="AO21" s="6">
        <v>6.2000000000011823E-2</v>
      </c>
      <c r="AP21" s="6">
        <v>0.13499999999999091</v>
      </c>
      <c r="AQ21" s="158">
        <v>40.225999999999999</v>
      </c>
      <c r="AR21" s="6">
        <v>29.579000000000008</v>
      </c>
      <c r="AS21" s="6">
        <v>0.39999999999999869</v>
      </c>
      <c r="AT21" s="6">
        <v>8.2540000000000049</v>
      </c>
      <c r="AU21" s="6">
        <v>0.96599999999997976</v>
      </c>
      <c r="AV21" s="158">
        <v>39.198999999999984</v>
      </c>
      <c r="AW21" s="6">
        <v>3.7730000000000032</v>
      </c>
      <c r="AX21" s="6">
        <v>1.7379999999999924</v>
      </c>
      <c r="AY21" s="6">
        <v>0.59300000000001774</v>
      </c>
      <c r="AZ21" s="6">
        <v>1.3950000000000102</v>
      </c>
      <c r="BA21" s="158">
        <v>7.4990000000000236</v>
      </c>
      <c r="BB21" s="6">
        <v>1.6779999999999973</v>
      </c>
      <c r="BC21" s="6">
        <v>2.4440000000000026</v>
      </c>
      <c r="BD21" s="6">
        <v>2.251000000000019</v>
      </c>
      <c r="BE21" s="6">
        <v>3.6730000000000018</v>
      </c>
      <c r="BF21" s="158">
        <v>10.045999999999992</v>
      </c>
      <c r="BG21" s="6">
        <v>2.3419999999999987</v>
      </c>
      <c r="BH21" s="6">
        <v>3.4849999999999994</v>
      </c>
      <c r="BJ21" s="216"/>
    </row>
    <row r="22" spans="1:62" x14ac:dyDescent="0.4">
      <c r="A22" s="72" t="s">
        <v>84</v>
      </c>
      <c r="B22" s="72" t="s">
        <v>227</v>
      </c>
      <c r="C22" s="2"/>
      <c r="D22" s="55">
        <v>24.59</v>
      </c>
      <c r="E22" s="55">
        <v>19.390999999999998</v>
      </c>
      <c r="F22" s="55">
        <v>28.079000000000001</v>
      </c>
      <c r="G22" s="55">
        <v>24.946000000000002</v>
      </c>
      <c r="H22" s="110">
        <v>97.006</v>
      </c>
      <c r="I22" s="55">
        <v>22.526</v>
      </c>
      <c r="J22" s="55">
        <v>15.513999999999999</v>
      </c>
      <c r="K22" s="55">
        <v>26.151</v>
      </c>
      <c r="L22" s="55">
        <v>31.792000000000002</v>
      </c>
      <c r="M22" s="110">
        <v>95.983000000000004</v>
      </c>
      <c r="N22" s="55">
        <v>33.637</v>
      </c>
      <c r="O22" s="55">
        <v>24.597000000000001</v>
      </c>
      <c r="P22" s="55">
        <v>36.485999999999997</v>
      </c>
      <c r="Q22" s="55">
        <v>38.323000000000008</v>
      </c>
      <c r="R22" s="159">
        <v>133.04300000000001</v>
      </c>
      <c r="S22" s="55">
        <v>34.024999999999999</v>
      </c>
      <c r="T22" s="55">
        <v>34.830999999999996</v>
      </c>
      <c r="U22" s="55">
        <v>39.093000000000004</v>
      </c>
      <c r="V22" s="55">
        <v>30.968000000000004</v>
      </c>
      <c r="W22" s="159">
        <v>138.917</v>
      </c>
      <c r="X22" s="55">
        <v>40.037999999999997</v>
      </c>
      <c r="Y22" s="55">
        <v>40.78</v>
      </c>
      <c r="Z22" s="55">
        <v>47.868000000000009</v>
      </c>
      <c r="AA22" s="55">
        <v>39.266999999999996</v>
      </c>
      <c r="AB22" s="159">
        <v>167.953</v>
      </c>
      <c r="AC22" s="55">
        <v>45.188000000000002</v>
      </c>
      <c r="AD22" s="55">
        <v>50.768000000000001</v>
      </c>
      <c r="AE22" s="55">
        <v>54.637999999999991</v>
      </c>
      <c r="AF22" s="55">
        <v>55.369</v>
      </c>
      <c r="AG22" s="159">
        <v>205.96299999999999</v>
      </c>
      <c r="AH22" s="55">
        <v>43.865000000000002</v>
      </c>
      <c r="AI22" s="55">
        <v>42.15</v>
      </c>
      <c r="AJ22" s="55">
        <v>32.790999999999997</v>
      </c>
      <c r="AK22" s="55">
        <v>36.077999999999989</v>
      </c>
      <c r="AL22" s="159">
        <v>154.88399999999999</v>
      </c>
      <c r="AM22" s="55">
        <v>76.162999999999997</v>
      </c>
      <c r="AN22" s="55">
        <v>99.063000000000002</v>
      </c>
      <c r="AO22" s="55">
        <v>60.616000000000014</v>
      </c>
      <c r="AP22" s="55">
        <v>58.46599999999998</v>
      </c>
      <c r="AQ22" s="159">
        <v>294.30799999999999</v>
      </c>
      <c r="AR22" s="55">
        <v>82.012</v>
      </c>
      <c r="AS22" s="55">
        <v>43.673000000000009</v>
      </c>
      <c r="AT22" s="55">
        <v>43.878999999999991</v>
      </c>
      <c r="AU22" s="55">
        <v>39.576999999999998</v>
      </c>
      <c r="AV22" s="159">
        <v>209.14099999999999</v>
      </c>
      <c r="AW22" s="55">
        <v>45.466000000000001</v>
      </c>
      <c r="AX22" s="55">
        <v>45.901999999999994</v>
      </c>
      <c r="AY22" s="55">
        <v>48.912000000000006</v>
      </c>
      <c r="AZ22" s="55">
        <v>56.419000000000011</v>
      </c>
      <c r="BA22" s="159">
        <v>196.69900000000001</v>
      </c>
      <c r="BB22" s="55">
        <v>52.363999999999997</v>
      </c>
      <c r="BC22" s="55">
        <v>46.702999999999996</v>
      </c>
      <c r="BD22" s="55">
        <v>49.809000000000012</v>
      </c>
      <c r="BE22" s="55">
        <v>57.13</v>
      </c>
      <c r="BF22" s="159">
        <v>206.006</v>
      </c>
      <c r="BG22" s="55">
        <v>40.655999999999999</v>
      </c>
      <c r="BH22" s="55">
        <v>46.072000000000003</v>
      </c>
      <c r="BJ22" s="216"/>
    </row>
    <row r="23" spans="1:62" x14ac:dyDescent="0.4">
      <c r="A23" s="58" t="s">
        <v>86</v>
      </c>
      <c r="B23" s="58" t="s">
        <v>87</v>
      </c>
      <c r="C23" s="9"/>
      <c r="D23" s="59">
        <v>9.7759999999999998</v>
      </c>
      <c r="E23" s="59">
        <v>9.0440000000000005</v>
      </c>
      <c r="F23" s="59">
        <v>14.329000000000001</v>
      </c>
      <c r="G23" s="59">
        <v>1.9239999999999999</v>
      </c>
      <c r="H23" s="111">
        <v>35.06</v>
      </c>
      <c r="I23" s="59">
        <v>7.7249999999999996</v>
      </c>
      <c r="J23" s="59">
        <v>0.71799999999999997</v>
      </c>
      <c r="K23" s="59">
        <v>8.9480000000000004</v>
      </c>
      <c r="L23" s="59">
        <v>12.76</v>
      </c>
      <c r="M23" s="111">
        <v>30.151</v>
      </c>
      <c r="N23" s="59">
        <v>10.702999999999999</v>
      </c>
      <c r="O23" s="59">
        <v>7.9499999999999993</v>
      </c>
      <c r="P23" s="59">
        <v>14.350999999999999</v>
      </c>
      <c r="Q23" s="59">
        <v>12.430999999999999</v>
      </c>
      <c r="R23" s="111">
        <v>45.435000000000002</v>
      </c>
      <c r="S23" s="59">
        <v>8.8140000000000001</v>
      </c>
      <c r="T23" s="59">
        <v>10.849999999999994</v>
      </c>
      <c r="U23" s="59">
        <v>12.882000000000005</v>
      </c>
      <c r="V23" s="59">
        <v>12.741</v>
      </c>
      <c r="W23" s="111">
        <v>45.286999999999999</v>
      </c>
      <c r="X23" s="59">
        <v>13.122999999999999</v>
      </c>
      <c r="Y23" s="59">
        <v>12.537000000000001</v>
      </c>
      <c r="Z23" s="59">
        <v>15.891000000000002</v>
      </c>
      <c r="AA23" s="59">
        <v>10.294999999999995</v>
      </c>
      <c r="AB23" s="111">
        <v>51.845999999999997</v>
      </c>
      <c r="AC23" s="59">
        <v>11.321</v>
      </c>
      <c r="AD23" s="59">
        <v>15.537000000000001</v>
      </c>
      <c r="AE23" s="59">
        <v>15.540000000000003</v>
      </c>
      <c r="AF23" s="59">
        <v>17.350999999999999</v>
      </c>
      <c r="AG23" s="111">
        <v>59.749000000000002</v>
      </c>
      <c r="AH23" s="59">
        <v>8.5169999999999995</v>
      </c>
      <c r="AI23" s="59">
        <v>9.4480000000000004</v>
      </c>
      <c r="AJ23" s="59">
        <v>-3.6069999999999993</v>
      </c>
      <c r="AK23" s="59">
        <v>3.4349999999999987</v>
      </c>
      <c r="AL23" s="111">
        <f>17.793</f>
        <v>17.792999999999999</v>
      </c>
      <c r="AM23" s="59">
        <v>25.638000000000002</v>
      </c>
      <c r="AN23" s="59">
        <v>52.920999999999992</v>
      </c>
      <c r="AO23" s="59">
        <v>17.749000000000009</v>
      </c>
      <c r="AP23" s="59">
        <v>13.538999999999987</v>
      </c>
      <c r="AQ23" s="111">
        <v>109.84699999999999</v>
      </c>
      <c r="AR23" s="59">
        <v>27.431000000000001</v>
      </c>
      <c r="AS23" s="59">
        <v>4.1839999999999975</v>
      </c>
      <c r="AT23" s="59">
        <v>4.3760000000000012</v>
      </c>
      <c r="AU23" s="59">
        <v>6.6540000000000035</v>
      </c>
      <c r="AV23" s="111">
        <v>42.645000000000003</v>
      </c>
      <c r="AW23" s="59">
        <v>6.6280000000000001</v>
      </c>
      <c r="AX23" s="59">
        <v>4.6150000000000002</v>
      </c>
      <c r="AY23" s="59">
        <v>9.400999999999998</v>
      </c>
      <c r="AZ23" s="59">
        <v>5.6750000000000007</v>
      </c>
      <c r="BA23" s="111">
        <v>26.318999999999999</v>
      </c>
      <c r="BB23" s="59">
        <v>5.9939999999999998</v>
      </c>
      <c r="BC23" s="59">
        <v>3.5209999999999688</v>
      </c>
      <c r="BD23" s="59">
        <v>8.4009999999999998</v>
      </c>
      <c r="BE23" s="59">
        <v>9.5169999999999995</v>
      </c>
      <c r="BF23" s="167">
        <v>27.431999999999999</v>
      </c>
      <c r="BG23" s="59">
        <v>2.5619999999999998</v>
      </c>
      <c r="BH23" s="59">
        <v>4.5369999999999999</v>
      </c>
      <c r="BJ23" s="216"/>
    </row>
    <row r="24" spans="1:62" x14ac:dyDescent="0.4">
      <c r="A24" s="61" t="s">
        <v>88</v>
      </c>
      <c r="B24" s="61" t="s">
        <v>89</v>
      </c>
      <c r="C24" s="9"/>
      <c r="D24" s="63">
        <v>0.39755998373322488</v>
      </c>
      <c r="E24" s="63">
        <v>0.46640193904388638</v>
      </c>
      <c r="F24" s="63">
        <v>0.51031019623205953</v>
      </c>
      <c r="G24" s="63">
        <v>7.7126593441834354E-2</v>
      </c>
      <c r="H24" s="112">
        <v>0.36142094303445149</v>
      </c>
      <c r="I24" s="63">
        <v>0.34293705051939977</v>
      </c>
      <c r="J24" s="63">
        <v>4.6280778651540545E-2</v>
      </c>
      <c r="K24" s="63">
        <v>0.34216664754693893</v>
      </c>
      <c r="L24" s="63">
        <v>0.40135883241066933</v>
      </c>
      <c r="M24" s="112">
        <v>0.3141285435962618</v>
      </c>
      <c r="N24" s="63">
        <v>0.31819127746231823</v>
      </c>
      <c r="O24" s="63">
        <v>0.32321014757897298</v>
      </c>
      <c r="P24" s="63">
        <v>0.39332894808967822</v>
      </c>
      <c r="Q24" s="63">
        <v>0.32437439657646849</v>
      </c>
      <c r="R24" s="112">
        <v>0.34150612959719789</v>
      </c>
      <c r="S24" s="63">
        <v>0.25904481998530493</v>
      </c>
      <c r="T24" s="63">
        <v>0.31150411989319848</v>
      </c>
      <c r="U24" s="63">
        <v>0.32952190929322395</v>
      </c>
      <c r="V24" s="63">
        <v>0.41142469646086277</v>
      </c>
      <c r="W24" s="112">
        <v>0.32600041751549486</v>
      </c>
      <c r="X24" s="63">
        <v>0.32776362455667118</v>
      </c>
      <c r="Y24" s="63">
        <v>0.30743011280039234</v>
      </c>
      <c r="Z24" s="63">
        <v>0.3319754324392078</v>
      </c>
      <c r="AA24" s="63">
        <v>0.26217943820510853</v>
      </c>
      <c r="AB24" s="112">
        <v>0.30869350353968072</v>
      </c>
      <c r="AC24" s="63">
        <v>0.25053111445516507</v>
      </c>
      <c r="AD24" s="63">
        <v>0.306039237314844</v>
      </c>
      <c r="AE24" s="63">
        <v>0.28441743841282635</v>
      </c>
      <c r="AF24" s="63">
        <v>0.31337029745886685</v>
      </c>
      <c r="AG24" s="112">
        <v>0.2900957939047305</v>
      </c>
      <c r="AH24" s="63">
        <v>0.19416391200273564</v>
      </c>
      <c r="AI24" s="63">
        <v>0.22415183867141164</v>
      </c>
      <c r="AJ24" s="63">
        <v>-0.10999969503827269</v>
      </c>
      <c r="AK24" s="63">
        <v>9.5210377515383332E-2</v>
      </c>
      <c r="AL24" s="112">
        <v>0.11487952273959867</v>
      </c>
      <c r="AM24" s="63">
        <v>0.33662014363929998</v>
      </c>
      <c r="AN24" s="63">
        <v>0.53421560017362679</v>
      </c>
      <c r="AO24" s="63">
        <v>0.29281047908143071</v>
      </c>
      <c r="AP24" s="63">
        <v>0.23157048541032382</v>
      </c>
      <c r="AQ24" s="112">
        <f t="shared" ref="AQ24:AT24" si="4">AQ23/AQ22</f>
        <v>0.37323824021093549</v>
      </c>
      <c r="AR24" s="63">
        <f t="shared" si="4"/>
        <v>0.33447544261815343</v>
      </c>
      <c r="AS24" s="63">
        <f t="shared" si="4"/>
        <v>9.5802898816202159E-2</v>
      </c>
      <c r="AT24" s="63">
        <f t="shared" si="4"/>
        <v>9.9728799653592881E-2</v>
      </c>
      <c r="AU24" s="63">
        <v>0.16812795310407569</v>
      </c>
      <c r="AV24" s="112">
        <v>0.20390549916085324</v>
      </c>
      <c r="AW24" s="63">
        <f>AW23/AW22</f>
        <v>0.14577926362556637</v>
      </c>
      <c r="AX24" s="63">
        <f>AX23/AX22</f>
        <v>0.10054028146921705</v>
      </c>
      <c r="AY24" s="63">
        <f>AY23/AY22</f>
        <v>0.1922023225384363</v>
      </c>
      <c r="AZ24" s="63">
        <f t="shared" ref="AZ24:BD24" si="5">AZ23/AZ22</f>
        <v>0.10058668179159502</v>
      </c>
      <c r="BA24" s="112">
        <f t="shared" si="5"/>
        <v>0.13380342553851315</v>
      </c>
      <c r="BB24" s="63">
        <f t="shared" si="5"/>
        <v>0.11446795508364525</v>
      </c>
      <c r="BC24" s="63">
        <f t="shared" si="5"/>
        <v>7.5391302485921019E-2</v>
      </c>
      <c r="BD24" s="63">
        <f t="shared" si="5"/>
        <v>0.1686642976168965</v>
      </c>
      <c r="BE24" s="63">
        <v>0.16658498162086469</v>
      </c>
      <c r="BF24" s="168">
        <v>0.13316117006300787</v>
      </c>
      <c r="BG24" s="63">
        <v>6.3016528925619833E-2</v>
      </c>
      <c r="BH24" s="63">
        <v>9.8476297968397283E-2</v>
      </c>
      <c r="BJ24" s="216"/>
    </row>
    <row r="25" spans="1:62" x14ac:dyDescent="0.4">
      <c r="A25" s="17" t="s">
        <v>228</v>
      </c>
      <c r="B25" s="17" t="s">
        <v>91</v>
      </c>
      <c r="C25" s="9"/>
      <c r="D25" s="108">
        <v>-2.7079999999999993</v>
      </c>
      <c r="E25" s="108">
        <v>-2.2369999999999992</v>
      </c>
      <c r="F25" s="108">
        <v>-3.1789999999999998</v>
      </c>
      <c r="G25" s="108">
        <v>-3.0870000000000002</v>
      </c>
      <c r="H25" s="109">
        <v>-11.165000000000001</v>
      </c>
      <c r="I25" s="108">
        <v>-3.7109999999999999</v>
      </c>
      <c r="J25" s="108">
        <v>-3.2789999999999999</v>
      </c>
      <c r="K25" s="108">
        <v>-3.9859999999999998</v>
      </c>
      <c r="L25" s="108">
        <v>-3.1879999999999997</v>
      </c>
      <c r="M25" s="109">
        <v>-14.164000000000001</v>
      </c>
      <c r="N25" s="108">
        <v>-3.657</v>
      </c>
      <c r="O25" s="108">
        <v>-4.125</v>
      </c>
      <c r="P25" s="108">
        <v>-4.9160000000000004</v>
      </c>
      <c r="Q25" s="108">
        <v>-4.3260000000000005</v>
      </c>
      <c r="R25" s="109">
        <v>-17.024000000000001</v>
      </c>
      <c r="S25" s="108">
        <v>-4.1909999999999998</v>
      </c>
      <c r="T25" s="108">
        <v>-4.3259999999999996</v>
      </c>
      <c r="U25" s="108">
        <v>-4.3890000000000002</v>
      </c>
      <c r="V25" s="108">
        <v>-5.0720000000000018</v>
      </c>
      <c r="W25" s="109">
        <v>-17.978000000000002</v>
      </c>
      <c r="X25" s="108">
        <v>-6.8150000000000004</v>
      </c>
      <c r="Y25" s="108">
        <v>-6.9339999999999993</v>
      </c>
      <c r="Z25" s="108">
        <v>-7.0029999999999992</v>
      </c>
      <c r="AA25" s="108">
        <v>-8.4800000000000022</v>
      </c>
      <c r="AB25" s="109">
        <v>-29.231999999999999</v>
      </c>
      <c r="AC25" s="108">
        <v>-9.4550000000000001</v>
      </c>
      <c r="AD25" s="108">
        <v>-11.101999999999999</v>
      </c>
      <c r="AE25" s="108">
        <v>-11.320000000000002</v>
      </c>
      <c r="AF25" s="108">
        <v>-12.149000000000001</v>
      </c>
      <c r="AG25" s="109">
        <v>-44.026000000000003</v>
      </c>
      <c r="AH25" s="108">
        <v>-9.3719999999999999</v>
      </c>
      <c r="AI25" s="108">
        <v>-9.4870000000000001</v>
      </c>
      <c r="AJ25" s="108">
        <v>-9.0399999999999991</v>
      </c>
      <c r="AK25" s="108">
        <v>-8.9690000000000012</v>
      </c>
      <c r="AL25" s="109">
        <v>-36.868000000000002</v>
      </c>
      <c r="AM25" s="108">
        <v>-10.019</v>
      </c>
      <c r="AN25" s="108">
        <v>-9.977999999999998</v>
      </c>
      <c r="AO25" s="108">
        <v>-15.529000000000003</v>
      </c>
      <c r="AP25" s="108">
        <v>-4.7249999999999943</v>
      </c>
      <c r="AQ25" s="109">
        <v>-40.250999999999998</v>
      </c>
      <c r="AR25" s="108">
        <v>-8.8469999999999995</v>
      </c>
      <c r="AS25" s="108">
        <v>-8.6950000000000021</v>
      </c>
      <c r="AT25" s="108">
        <v>-10.831999999999997</v>
      </c>
      <c r="AU25" s="108">
        <v>-10.741000000000003</v>
      </c>
      <c r="AV25" s="109">
        <v>-39.115000000000002</v>
      </c>
      <c r="AW25" s="108">
        <v>-8.1690000000000005</v>
      </c>
      <c r="AX25" s="108">
        <v>-8.2309999999999981</v>
      </c>
      <c r="AY25" s="108">
        <v>-9.0350000000000001</v>
      </c>
      <c r="AZ25" s="108">
        <v>-9.0629999999999988</v>
      </c>
      <c r="BA25" s="109">
        <v>-34.497999999999998</v>
      </c>
      <c r="BB25" s="108">
        <v>-8.5139999999999993</v>
      </c>
      <c r="BC25" s="108">
        <v>-8.2950000000000017</v>
      </c>
      <c r="BD25" s="108">
        <v>-7.8159999999999998</v>
      </c>
      <c r="BE25" s="108">
        <v>-7.47</v>
      </c>
      <c r="BF25" s="171">
        <v>-32.094999999999999</v>
      </c>
      <c r="BG25" s="108">
        <v>-7.8920000000000003</v>
      </c>
      <c r="BH25" s="108">
        <v>-7.7409999999999997</v>
      </c>
      <c r="BJ25" s="216"/>
    </row>
    <row r="26" spans="1:62" x14ac:dyDescent="0.4">
      <c r="A26" s="17" t="s">
        <v>94</v>
      </c>
      <c r="B26" s="17" t="s">
        <v>95</v>
      </c>
      <c r="C26" s="21"/>
      <c r="D26" s="6">
        <v>0</v>
      </c>
      <c r="E26" s="6">
        <v>0</v>
      </c>
      <c r="F26" s="6">
        <v>3.6999999999999998E-2</v>
      </c>
      <c r="G26" s="6">
        <v>1.9419999999999999</v>
      </c>
      <c r="H26" s="7">
        <v>1.9330000000000001</v>
      </c>
      <c r="I26" s="6">
        <v>-0.151</v>
      </c>
      <c r="J26" s="6">
        <v>-1.9E-2</v>
      </c>
      <c r="K26" s="6">
        <v>0.77300000000000002</v>
      </c>
      <c r="L26" s="6">
        <v>3.2330000000000001</v>
      </c>
      <c r="M26" s="7">
        <v>3.8359999999999999</v>
      </c>
      <c r="N26" s="6">
        <v>1E-3</v>
      </c>
      <c r="O26" s="6">
        <v>-7.1999999999999995E-2</v>
      </c>
      <c r="P26" s="6">
        <v>-6.1000000000000013E-2</v>
      </c>
      <c r="Q26" s="6">
        <v>0</v>
      </c>
      <c r="R26" s="7">
        <v>-0.13200000000000001</v>
      </c>
      <c r="S26" s="6">
        <v>-7.0999999999999994E-2</v>
      </c>
      <c r="T26" s="6">
        <v>-6.2000000000000013E-2</v>
      </c>
      <c r="U26" s="6">
        <v>-6.2E-2</v>
      </c>
      <c r="V26" s="6">
        <v>-1.341</v>
      </c>
      <c r="W26" s="7">
        <v>-1.536</v>
      </c>
      <c r="X26" s="6">
        <v>-6.2E-2</v>
      </c>
      <c r="Y26" s="6">
        <v>-3.9000000000000007E-2</v>
      </c>
      <c r="Z26" s="6">
        <v>-6.3E-2</v>
      </c>
      <c r="AA26" s="6">
        <v>-0.33999999999999997</v>
      </c>
      <c r="AB26" s="7">
        <v>-0.504</v>
      </c>
      <c r="AC26" s="6">
        <v>-1.095</v>
      </c>
      <c r="AD26" s="6">
        <v>-0.49700000000000011</v>
      </c>
      <c r="AE26" s="6">
        <v>-0.13500000000000001</v>
      </c>
      <c r="AF26" s="6">
        <v>-0.11299999999999999</v>
      </c>
      <c r="AG26" s="7">
        <v>-1.84</v>
      </c>
      <c r="AH26" s="6">
        <v>-0.11799999999999999</v>
      </c>
      <c r="AI26" s="6">
        <v>-0.16000000000000003</v>
      </c>
      <c r="AJ26" s="6">
        <v>-6.2E-2</v>
      </c>
      <c r="AK26" s="6">
        <v>-0.71799999999999997</v>
      </c>
      <c r="AL26" s="7">
        <v>-1.0580000000000001</v>
      </c>
      <c r="AM26" s="6">
        <v>1.7000000000000001E-2</v>
      </c>
      <c r="AN26" s="6">
        <v>-37.005000000000003</v>
      </c>
      <c r="AO26" s="6">
        <v>0</v>
      </c>
      <c r="AP26" s="6">
        <v>-4.3470000000000013</v>
      </c>
      <c r="AQ26" s="7">
        <v>-41.335000000000001</v>
      </c>
      <c r="AR26" s="6">
        <v>-5.0000000000000001E-3</v>
      </c>
      <c r="AS26" s="6">
        <v>0.25800000000000001</v>
      </c>
      <c r="AT26" s="6">
        <v>1.3000000000000012E-2</v>
      </c>
      <c r="AU26" s="6">
        <v>8.5229999999999997</v>
      </c>
      <c r="AV26" s="7">
        <v>8.7889999999999997</v>
      </c>
      <c r="AW26" s="6">
        <v>-4.0000000000000001E-3</v>
      </c>
      <c r="AX26" s="6">
        <v>1.0660000000000001</v>
      </c>
      <c r="AY26" s="6">
        <v>5.0000000000000044E-2</v>
      </c>
      <c r="AZ26" s="6">
        <v>0.59399999999999986</v>
      </c>
      <c r="BA26" s="7">
        <v>1.706</v>
      </c>
      <c r="BB26" s="6">
        <v>-5.8000000000000003E-2</v>
      </c>
      <c r="BC26" s="6">
        <v>3.2007410000000132E-2</v>
      </c>
      <c r="BD26" s="6">
        <v>-4.0000000000000001E-3</v>
      </c>
      <c r="BE26" s="6">
        <v>0.86299999999999999</v>
      </c>
      <c r="BF26" s="158">
        <v>0.83299999999999996</v>
      </c>
      <c r="BG26" s="6">
        <v>0</v>
      </c>
      <c r="BH26" s="6">
        <v>2.1000000000000001E-2</v>
      </c>
      <c r="BJ26" s="216"/>
    </row>
    <row r="27" spans="1:62" x14ac:dyDescent="0.4">
      <c r="A27" s="17" t="s">
        <v>96</v>
      </c>
      <c r="B27" s="17" t="s">
        <v>97</v>
      </c>
      <c r="C27" s="21"/>
      <c r="D27" s="6"/>
      <c r="E27" s="6"/>
      <c r="F27" s="6"/>
      <c r="G27" s="6"/>
      <c r="H27" s="7"/>
      <c r="I27" s="6"/>
      <c r="J27" s="6"/>
      <c r="K27" s="6"/>
      <c r="L27" s="6"/>
      <c r="M27" s="7">
        <v>0</v>
      </c>
      <c r="N27" s="6"/>
      <c r="O27" s="6"/>
      <c r="P27" s="6"/>
      <c r="Q27" s="6"/>
      <c r="R27" s="7">
        <v>0</v>
      </c>
      <c r="S27" s="6"/>
      <c r="T27" s="6"/>
      <c r="U27" s="6"/>
      <c r="V27" s="6"/>
      <c r="W27" s="7">
        <v>0</v>
      </c>
      <c r="X27" s="6"/>
      <c r="Y27" s="6"/>
      <c r="Z27" s="6"/>
      <c r="AA27" s="6"/>
      <c r="AB27" s="7">
        <v>0</v>
      </c>
      <c r="AC27" s="6"/>
      <c r="AD27" s="6"/>
      <c r="AE27" s="6"/>
      <c r="AF27" s="6"/>
      <c r="AG27" s="7">
        <v>0</v>
      </c>
      <c r="AH27" s="6"/>
      <c r="AI27" s="6"/>
      <c r="AJ27" s="6"/>
      <c r="AK27" s="6"/>
      <c r="AL27" s="7">
        <v>0</v>
      </c>
      <c r="AM27" s="6"/>
      <c r="AN27" s="6"/>
      <c r="AO27" s="6"/>
      <c r="AP27" s="6"/>
      <c r="AQ27" s="7">
        <v>0</v>
      </c>
      <c r="AR27" s="6">
        <v>0</v>
      </c>
      <c r="AS27" s="6">
        <v>0</v>
      </c>
      <c r="AT27" s="6">
        <v>0</v>
      </c>
      <c r="AU27" s="6">
        <v>0</v>
      </c>
      <c r="AV27" s="7">
        <v>0</v>
      </c>
      <c r="AW27" s="6">
        <v>0</v>
      </c>
      <c r="AX27" s="6">
        <v>-4.4640000000000004</v>
      </c>
      <c r="AY27" s="6">
        <v>0</v>
      </c>
      <c r="AZ27" s="6">
        <v>0</v>
      </c>
      <c r="BA27" s="7">
        <v>-4.4640000000000004</v>
      </c>
      <c r="BB27" s="6">
        <v>0</v>
      </c>
      <c r="BC27" s="6">
        <v>0</v>
      </c>
      <c r="BD27" s="6">
        <v>0</v>
      </c>
      <c r="BE27" s="6">
        <v>-4.8920000000000003</v>
      </c>
      <c r="BF27" s="158">
        <v>-4.8920000000000003</v>
      </c>
      <c r="BG27" s="6">
        <v>0</v>
      </c>
      <c r="BH27" s="6">
        <v>-0.95399999999999996</v>
      </c>
      <c r="BJ27" s="216"/>
    </row>
    <row r="28" spans="1:62" s="115" customFormat="1" x14ac:dyDescent="0.4">
      <c r="A28" s="113" t="s">
        <v>98</v>
      </c>
      <c r="B28" s="30" t="s">
        <v>98</v>
      </c>
      <c r="C28" s="114"/>
      <c r="D28" s="59">
        <v>7.0549999999999997</v>
      </c>
      <c r="E28" s="59">
        <v>6.8070000000000004</v>
      </c>
      <c r="F28" s="59">
        <v>11.186999999999999</v>
      </c>
      <c r="G28" s="59">
        <v>0.77900000000000003</v>
      </c>
      <c r="H28" s="111">
        <v>25.827999999999999</v>
      </c>
      <c r="I28" s="59">
        <v>3.863</v>
      </c>
      <c r="J28" s="59">
        <v>-2.58</v>
      </c>
      <c r="K28" s="59">
        <v>5.7350000000000003</v>
      </c>
      <c r="L28" s="59">
        <v>12.805</v>
      </c>
      <c r="M28" s="111">
        <v>19.823</v>
      </c>
      <c r="N28" s="59">
        <v>7.0469999999999997</v>
      </c>
      <c r="O28" s="59">
        <v>3.753000000000001</v>
      </c>
      <c r="P28" s="59">
        <v>9.3739999999999988</v>
      </c>
      <c r="Q28" s="59">
        <v>8.1050000000000004</v>
      </c>
      <c r="R28" s="111">
        <v>28.279</v>
      </c>
      <c r="S28" s="59">
        <v>4.5519999999999996</v>
      </c>
      <c r="T28" s="59">
        <v>6.4619999999999962</v>
      </c>
      <c r="U28" s="59">
        <v>8.4310000000000045</v>
      </c>
      <c r="V28" s="59">
        <v>6.3279999999999994</v>
      </c>
      <c r="W28" s="111">
        <v>25.773</v>
      </c>
      <c r="X28" s="59">
        <v>6.2460000000000004</v>
      </c>
      <c r="Y28" s="59">
        <v>5.5640000000000001</v>
      </c>
      <c r="Z28" s="59">
        <v>8.8250000000000011</v>
      </c>
      <c r="AA28" s="59">
        <v>1.4749999999999979</v>
      </c>
      <c r="AB28" s="111">
        <v>22.11</v>
      </c>
      <c r="AC28" s="59">
        <v>0.77100000000000002</v>
      </c>
      <c r="AD28" s="59">
        <v>3.9379999999999997</v>
      </c>
      <c r="AE28" s="59">
        <v>4.0850000000000009</v>
      </c>
      <c r="AF28" s="59">
        <v>5.0889999999999986</v>
      </c>
      <c r="AG28" s="111">
        <v>13.882999999999999</v>
      </c>
      <c r="AH28" s="59">
        <v>-0.97299999999999998</v>
      </c>
      <c r="AI28" s="59">
        <v>-0.19899999999999995</v>
      </c>
      <c r="AJ28" s="59">
        <v>-12.709</v>
      </c>
      <c r="AK28" s="59">
        <v>-6.2519999999999989</v>
      </c>
      <c r="AL28" s="111">
        <v>-20.132999999999999</v>
      </c>
      <c r="AM28" s="59">
        <v>15.635999999999999</v>
      </c>
      <c r="AN28" s="59">
        <v>5.9380000000000024</v>
      </c>
      <c r="AO28" s="59">
        <v>2.2199999999999989</v>
      </c>
      <c r="AP28" s="59">
        <v>4.4669999999999987</v>
      </c>
      <c r="AQ28" s="111">
        <v>28.260999999999999</v>
      </c>
      <c r="AR28" s="59">
        <v>18.579000000000004</v>
      </c>
      <c r="AS28" s="59">
        <v>-4.2530000000000046</v>
      </c>
      <c r="AT28" s="59">
        <v>-6.8219999999999974</v>
      </c>
      <c r="AU28" s="59">
        <v>4.4060000000000006</v>
      </c>
      <c r="AV28" s="111">
        <v>11.91</v>
      </c>
      <c r="AW28" s="59">
        <v>-1.5449999999999999</v>
      </c>
      <c r="AX28" s="59">
        <v>-7.0139999999999993</v>
      </c>
      <c r="AY28" s="59">
        <v>0.41599999999999859</v>
      </c>
      <c r="AZ28" s="59">
        <v>-2.7939999999999987</v>
      </c>
      <c r="BA28" s="111">
        <v>-10.936999999999999</v>
      </c>
      <c r="BB28" s="59">
        <v>-2.5779999999999998</v>
      </c>
      <c r="BC28" s="59">
        <v>-4.7419925900000361</v>
      </c>
      <c r="BD28" s="59">
        <v>0.58099999999999952</v>
      </c>
      <c r="BE28" s="59">
        <v>-1.982</v>
      </c>
      <c r="BF28" s="167">
        <v>-8.7220000000000049</v>
      </c>
      <c r="BG28" s="59">
        <v>-5.33</v>
      </c>
      <c r="BH28" s="59">
        <v>-4.1369999999999996</v>
      </c>
      <c r="BJ28" s="216"/>
    </row>
    <row r="29" spans="1:62" x14ac:dyDescent="0.4">
      <c r="A29" s="61" t="s">
        <v>99</v>
      </c>
      <c r="B29" s="61" t="s">
        <v>100</v>
      </c>
      <c r="C29" s="103"/>
      <c r="D29" s="63">
        <v>0.28690524603497358</v>
      </c>
      <c r="E29" s="63">
        <v>0.35103914186993973</v>
      </c>
      <c r="F29" s="63">
        <v>0.39841162434559635</v>
      </c>
      <c r="G29" s="63">
        <v>3.122745129479676E-2</v>
      </c>
      <c r="H29" s="112">
        <v>0.26625157206770717</v>
      </c>
      <c r="I29" s="63">
        <v>0.17149072183254904</v>
      </c>
      <c r="J29" s="63">
        <v>-0.1663014051824159</v>
      </c>
      <c r="K29" s="63">
        <v>0.2193032771213338</v>
      </c>
      <c r="L29" s="63">
        <v>0.4027742828384499</v>
      </c>
      <c r="M29" s="112">
        <v>0.20652615567340049</v>
      </c>
      <c r="N29" s="63">
        <v>0.20950144186461336</v>
      </c>
      <c r="O29" s="63">
        <v>0.15257958287596052</v>
      </c>
      <c r="P29" s="63">
        <v>0.25692046264320562</v>
      </c>
      <c r="Q29" s="63">
        <v>0.21149179343997074</v>
      </c>
      <c r="R29" s="112">
        <v>0.21255533925121953</v>
      </c>
      <c r="S29" s="63">
        <v>0.13378398236590741</v>
      </c>
      <c r="T29" s="63">
        <v>0.18552438919353439</v>
      </c>
      <c r="U29" s="63">
        <v>0.21566520860512123</v>
      </c>
      <c r="V29" s="63">
        <v>0.20433996383363467</v>
      </c>
      <c r="W29" s="112">
        <v>0.18552804912285753</v>
      </c>
      <c r="X29" s="63">
        <v>0.15600179829162297</v>
      </c>
      <c r="Y29" s="63">
        <v>0.13643943109367337</v>
      </c>
      <c r="Z29" s="63">
        <v>0.18436115985627141</v>
      </c>
      <c r="AA29" s="63">
        <v>3.756334835867263E-2</v>
      </c>
      <c r="AB29" s="112">
        <v>0.13164397182545115</v>
      </c>
      <c r="AC29" s="63">
        <v>1.7062051872178453E-2</v>
      </c>
      <c r="AD29" s="63">
        <v>7.7568547116293726E-2</v>
      </c>
      <c r="AE29" s="63">
        <v>7.4764815696035755E-2</v>
      </c>
      <c r="AF29" s="63">
        <v>9.1910635915403896E-2</v>
      </c>
      <c r="AG29" s="112">
        <v>6.7405310662594739E-2</v>
      </c>
      <c r="AH29" s="63">
        <v>-2.218169383335233E-2</v>
      </c>
      <c r="AI29" s="63">
        <v>-4.721233689205219E-3</v>
      </c>
      <c r="AJ29" s="63">
        <v>-0.3875758592296667</v>
      </c>
      <c r="AK29" s="63">
        <v>-0.17329120239481127</v>
      </c>
      <c r="AL29" s="112">
        <v>-0.12998760362593942</v>
      </c>
      <c r="AM29" s="63">
        <v>0.20529653506295709</v>
      </c>
      <c r="AN29" s="63">
        <v>5.994165329133988E-2</v>
      </c>
      <c r="AO29" s="63">
        <v>3.6623993665038906E-2</v>
      </c>
      <c r="AP29" s="63">
        <v>7.6403379742072314E-2</v>
      </c>
      <c r="AQ29" s="112">
        <f t="shared" ref="AQ29:AT29" si="6">AQ28/AQ22</f>
        <v>9.6025252456610088E-2</v>
      </c>
      <c r="AR29" s="63">
        <f t="shared" si="6"/>
        <v>0.22654001853387315</v>
      </c>
      <c r="AS29" s="63">
        <f t="shared" si="6"/>
        <v>-9.7382822338744846E-2</v>
      </c>
      <c r="AT29" s="63">
        <f t="shared" si="6"/>
        <v>-0.15547300531005717</v>
      </c>
      <c r="AU29" s="63">
        <v>0.11132728604997855</v>
      </c>
      <c r="AV29" s="112">
        <v>5.6947226990403603E-2</v>
      </c>
      <c r="AW29" s="63">
        <f>AW28/AW22</f>
        <v>-3.3981436677957153E-2</v>
      </c>
      <c r="AX29" s="63">
        <f>AX28/AX22</f>
        <v>-0.15280379939871902</v>
      </c>
      <c r="AY29" s="63">
        <f>AY28/AY22</f>
        <v>8.5050703303892403E-3</v>
      </c>
      <c r="AZ29" s="63">
        <f t="shared" ref="AZ29:BB29" si="7">AZ28/AZ22</f>
        <v>-4.9522324039773802E-2</v>
      </c>
      <c r="BA29" s="112">
        <f t="shared" si="7"/>
        <v>-5.560272294216035E-2</v>
      </c>
      <c r="BB29" s="63">
        <f t="shared" si="7"/>
        <v>-4.9232296997937512E-2</v>
      </c>
      <c r="BC29" s="63">
        <v>-0.10153507462047484</v>
      </c>
      <c r="BD29" s="63">
        <v>1.1664558613905106E-2</v>
      </c>
      <c r="BE29" s="63">
        <v>-3.4692805881323299E-2</v>
      </c>
      <c r="BF29" s="168">
        <v>-4.2338572662932172E-2</v>
      </c>
      <c r="BG29" s="63">
        <v>-0.13109996064541521</v>
      </c>
      <c r="BH29" s="63">
        <v>-8.9794235110262188E-2</v>
      </c>
      <c r="BJ29" s="216"/>
    </row>
    <row r="30" spans="1:62" x14ac:dyDescent="0.4">
      <c r="A30" s="17" t="s">
        <v>101</v>
      </c>
      <c r="B30" s="17" t="s">
        <v>102</v>
      </c>
      <c r="C30" s="103"/>
      <c r="D30" s="108">
        <v>-2.81</v>
      </c>
      <c r="E30" s="108">
        <v>-1.7689999999999999</v>
      </c>
      <c r="F30" s="108">
        <v>-15.356999999999999</v>
      </c>
      <c r="G30" s="108">
        <v>-0.89400000000000002</v>
      </c>
      <c r="H30" s="109">
        <v>-20.838999999999999</v>
      </c>
      <c r="I30" s="108">
        <v>-1.2609999999999999</v>
      </c>
      <c r="J30" s="108">
        <v>-1.4639999999999995</v>
      </c>
      <c r="K30" s="108">
        <v>-1.4390000000000001</v>
      </c>
      <c r="L30" s="108">
        <v>-1.5190000000000001</v>
      </c>
      <c r="M30" s="109">
        <v>-5.6829999999999998</v>
      </c>
      <c r="N30" s="108">
        <v>-1.4419999999999999</v>
      </c>
      <c r="O30" s="108">
        <v>-1.5950000000000002</v>
      </c>
      <c r="P30" s="108">
        <v>-1.444</v>
      </c>
      <c r="Q30" s="108">
        <v>-3.081</v>
      </c>
      <c r="R30" s="109">
        <v>-7.5620000000000003</v>
      </c>
      <c r="S30" s="108">
        <v>-2.2569999999999997</v>
      </c>
      <c r="T30" s="108">
        <v>-2.4440000000000004</v>
      </c>
      <c r="U30" s="108">
        <v>-2.0209999999999999</v>
      </c>
      <c r="V30" s="108">
        <v>-3.6910000000000003</v>
      </c>
      <c r="W30" s="109">
        <v>-10.413</v>
      </c>
      <c r="X30" s="108">
        <v>-4.6409999999999991</v>
      </c>
      <c r="Y30" s="108">
        <v>-4.2340000000000009</v>
      </c>
      <c r="Z30" s="108">
        <v>-3.6709999999999994</v>
      </c>
      <c r="AA30" s="108">
        <v>-1.3740000000000001</v>
      </c>
      <c r="AB30" s="109">
        <v>-13.92</v>
      </c>
      <c r="AC30" s="108">
        <v>-3.5529999999999999</v>
      </c>
      <c r="AD30" s="108">
        <v>-4.0990000000000002</v>
      </c>
      <c r="AE30" s="108">
        <v>-4.1529999999999996</v>
      </c>
      <c r="AF30" s="108">
        <v>-4.3390000000000004</v>
      </c>
      <c r="AG30" s="109">
        <v>-16.143999999999998</v>
      </c>
      <c r="AH30" s="108">
        <v>-3.2650000000000001</v>
      </c>
      <c r="AI30" s="108">
        <v>-2.5339999999999998</v>
      </c>
      <c r="AJ30" s="108">
        <v>-3.0530000000000004</v>
      </c>
      <c r="AK30" s="108">
        <v>-3.0619999999999985</v>
      </c>
      <c r="AL30" s="109">
        <v>-11.914</v>
      </c>
      <c r="AM30" s="108">
        <v>-4.4690000000000003</v>
      </c>
      <c r="AN30" s="108">
        <v>-4.721000000000001</v>
      </c>
      <c r="AO30" s="108">
        <v>-3.75</v>
      </c>
      <c r="AP30" s="108">
        <v>-3.4089999999999998</v>
      </c>
      <c r="AQ30" s="109">
        <v>-16.349</v>
      </c>
      <c r="AR30" s="108">
        <v>-3.1229999999999998</v>
      </c>
      <c r="AS30" s="108">
        <v>-3.3119999999999998</v>
      </c>
      <c r="AT30" s="108">
        <v>-3.1179999999999994</v>
      </c>
      <c r="AU30" s="108">
        <v>-3.273000000000001</v>
      </c>
      <c r="AV30" s="109">
        <v>-12.826000000000001</v>
      </c>
      <c r="AW30" s="108">
        <v>-2.915</v>
      </c>
      <c r="AX30" s="108">
        <v>-3.63</v>
      </c>
      <c r="AY30" s="108">
        <v>-3.1049999999999995</v>
      </c>
      <c r="AZ30" s="108">
        <v>-4.1780000000000008</v>
      </c>
      <c r="BA30" s="109">
        <v>-13.827999999999999</v>
      </c>
      <c r="BB30" s="108">
        <v>-4.1669999999999998</v>
      </c>
      <c r="BC30" s="108">
        <v>-4.4540000000000024</v>
      </c>
      <c r="BD30" s="108">
        <v>-4.6309999999999985</v>
      </c>
      <c r="BE30" s="108">
        <v>-3.34</v>
      </c>
      <c r="BF30" s="171">
        <v>-16.591000000000001</v>
      </c>
      <c r="BG30" s="108">
        <v>-4.2329999999999997</v>
      </c>
      <c r="BH30" s="108">
        <v>-0.66700000000000004</v>
      </c>
      <c r="BJ30" s="216"/>
    </row>
    <row r="31" spans="1:62" x14ac:dyDescent="0.4">
      <c r="A31" s="17" t="s">
        <v>103</v>
      </c>
      <c r="B31" s="17" t="s">
        <v>229</v>
      </c>
      <c r="C31" s="103"/>
      <c r="D31" s="116"/>
      <c r="E31" s="116"/>
      <c r="F31" s="116"/>
      <c r="G31" s="116"/>
      <c r="H31" s="117"/>
      <c r="I31" s="116"/>
      <c r="J31" s="116"/>
      <c r="K31" s="116"/>
      <c r="L31" s="116"/>
      <c r="M31" s="117"/>
      <c r="N31" s="116"/>
      <c r="O31" s="116">
        <v>-2.9000000000001247E-2</v>
      </c>
      <c r="P31" s="116">
        <v>-4.2999999999998373E-2</v>
      </c>
      <c r="Q31" s="116">
        <v>-3.6450000000000009</v>
      </c>
      <c r="R31" s="117">
        <v>-3.7229999999999999</v>
      </c>
      <c r="S31" s="116">
        <v>-4.0000000000000036E-3</v>
      </c>
      <c r="T31" s="116">
        <v>-1.3000000000000345E-2</v>
      </c>
      <c r="U31" s="116">
        <v>-6.0000000000002274E-3</v>
      </c>
      <c r="V31" s="116">
        <v>-1.5999999999998682E-2</v>
      </c>
      <c r="W31" s="117">
        <v>-3.8999999999999702E-2</v>
      </c>
      <c r="X31" s="116">
        <v>-5.0000000000016698E-3</v>
      </c>
      <c r="Y31" s="116">
        <v>-7.9999999999991189E-3</v>
      </c>
      <c r="Z31" s="116">
        <v>-2.0000000000024443E-3</v>
      </c>
      <c r="AA31" s="116">
        <v>-5.9999999999971187E-3</v>
      </c>
      <c r="AB31" s="117">
        <v>-2.0999999999999019E-2</v>
      </c>
      <c r="AC31" s="116">
        <v>-4.0000000000000036E-3</v>
      </c>
      <c r="AD31" s="116">
        <v>-1.9000000000000128E-2</v>
      </c>
      <c r="AE31" s="116">
        <v>1.9999999999988916E-3</v>
      </c>
      <c r="AF31" s="116">
        <v>32.897999999999996</v>
      </c>
      <c r="AG31" s="117">
        <v>32.876999999999995</v>
      </c>
      <c r="AH31" s="116">
        <v>-7.0000000000001172E-3</v>
      </c>
      <c r="AI31" s="116">
        <v>0.23199999999999932</v>
      </c>
      <c r="AJ31" s="116">
        <v>0.53200000000000136</v>
      </c>
      <c r="AK31" s="116">
        <v>0.370999999999996</v>
      </c>
      <c r="AL31" s="117">
        <v>1.1279999999999983</v>
      </c>
      <c r="AM31" s="116">
        <v>0.13500000000000068</v>
      </c>
      <c r="AN31" s="116">
        <v>0.15099999999999891</v>
      </c>
      <c r="AO31" s="116">
        <v>-1.7999999999998906E-2</v>
      </c>
      <c r="AP31" s="116">
        <v>-1.1999999999999567E-2</v>
      </c>
      <c r="AQ31" s="117">
        <v>0.25600000000000023</v>
      </c>
      <c r="AR31" s="116">
        <v>9.9999999999988987E-4</v>
      </c>
      <c r="AS31" s="116">
        <v>-9.9999999999988987E-4</v>
      </c>
      <c r="AT31" s="116">
        <v>1.1999999999999567E-2</v>
      </c>
      <c r="AU31" s="116">
        <v>3.0000000000005578E-3</v>
      </c>
      <c r="AV31" s="117">
        <v>1.5000000000000568E-2</v>
      </c>
      <c r="AW31" s="116">
        <v>-1.9999999999997797E-3</v>
      </c>
      <c r="AX31" s="116">
        <v>-3.0000000000010019E-3</v>
      </c>
      <c r="AY31" s="116">
        <v>0.29300000000000193</v>
      </c>
      <c r="AZ31" s="116">
        <v>-2.3000000000001464E-2</v>
      </c>
      <c r="BA31" s="117">
        <v>0.26499999999999879</v>
      </c>
      <c r="BB31" s="116">
        <v>0</v>
      </c>
      <c r="BC31" s="116">
        <v>3.8000000000003809E-2</v>
      </c>
      <c r="BD31" s="116">
        <v>0.12699999999999889</v>
      </c>
      <c r="BE31" s="116">
        <v>-1.1379999999999999</v>
      </c>
      <c r="BF31" s="206">
        <v>-0.97299999999999898</v>
      </c>
      <c r="BG31" s="116">
        <v>0.31899999999999995</v>
      </c>
      <c r="BH31" s="116">
        <v>1.3999999999999568E-2</v>
      </c>
      <c r="BJ31" s="216"/>
    </row>
    <row r="32" spans="1:62" x14ac:dyDescent="0.4">
      <c r="A32" s="47" t="s">
        <v>105</v>
      </c>
      <c r="B32" s="47" t="s">
        <v>106</v>
      </c>
      <c r="C32" s="9"/>
      <c r="D32" s="48">
        <v>4.242</v>
      </c>
      <c r="E32" s="48">
        <v>5.032</v>
      </c>
      <c r="F32" s="48">
        <v>-4.17</v>
      </c>
      <c r="G32" s="48">
        <v>-0.115</v>
      </c>
      <c r="H32" s="49">
        <v>4.9889999999999999</v>
      </c>
      <c r="I32" s="48">
        <v>2.6019999999999999</v>
      </c>
      <c r="J32" s="48">
        <v>-4.0439999999999996</v>
      </c>
      <c r="K32" s="48">
        <v>4.2960000000000003</v>
      </c>
      <c r="L32" s="48">
        <v>11.286</v>
      </c>
      <c r="M32" s="49">
        <v>14.14</v>
      </c>
      <c r="N32" s="48">
        <v>5.5990000000000002</v>
      </c>
      <c r="O32" s="48">
        <v>2.1289999999999996</v>
      </c>
      <c r="P32" s="48">
        <v>7.8870000000000005</v>
      </c>
      <c r="Q32" s="48">
        <v>1.3789999999999996</v>
      </c>
      <c r="R32" s="49">
        <v>16.994</v>
      </c>
      <c r="S32" s="48">
        <v>2.2909999999999999</v>
      </c>
      <c r="T32" s="48">
        <v>4.0049999999999955</v>
      </c>
      <c r="U32" s="48">
        <v>6.4040000000000044</v>
      </c>
      <c r="V32" s="48">
        <v>2.6210000000000004</v>
      </c>
      <c r="W32" s="49">
        <v>15.321</v>
      </c>
      <c r="X32" s="48">
        <v>1.6</v>
      </c>
      <c r="Y32" s="48">
        <v>1.3220000000000001</v>
      </c>
      <c r="Z32" s="48">
        <v>5.1519999999999992</v>
      </c>
      <c r="AA32" s="48">
        <v>9.5000000000000639E-2</v>
      </c>
      <c r="AB32" s="49">
        <v>8.1690000000000005</v>
      </c>
      <c r="AC32" s="48">
        <v>-2.786</v>
      </c>
      <c r="AD32" s="48">
        <v>-0.18000000000000016</v>
      </c>
      <c r="AE32" s="48">
        <v>-6.5999999999999837E-2</v>
      </c>
      <c r="AF32" s="48">
        <v>33.647999999999996</v>
      </c>
      <c r="AG32" s="49">
        <v>30.616</v>
      </c>
      <c r="AH32" s="48">
        <v>-4.2450000000000001</v>
      </c>
      <c r="AI32" s="48">
        <v>-2.5010000000000003</v>
      </c>
      <c r="AJ32" s="48">
        <v>-15.229999999999999</v>
      </c>
      <c r="AK32" s="48">
        <v>-8.9430000000000014</v>
      </c>
      <c r="AL32" s="49">
        <v>-30.919</v>
      </c>
      <c r="AM32" s="48">
        <v>11.302</v>
      </c>
      <c r="AN32" s="48">
        <v>1.3680000000000003</v>
      </c>
      <c r="AO32" s="48">
        <v>-1.548</v>
      </c>
      <c r="AP32" s="48">
        <v>1.0459999999999994</v>
      </c>
      <c r="AQ32" s="49">
        <v>12.167999999999999</v>
      </c>
      <c r="AR32" s="48">
        <v>15.457000000000004</v>
      </c>
      <c r="AS32" s="48">
        <v>-7.5660000000000043</v>
      </c>
      <c r="AT32" s="48">
        <v>-9.9279999999999973</v>
      </c>
      <c r="AU32" s="48">
        <v>1.1359999999999999</v>
      </c>
      <c r="AV32" s="49">
        <v>-0.90100000000000002</v>
      </c>
      <c r="AW32" s="48">
        <v>-4.4619999999999997</v>
      </c>
      <c r="AX32" s="48">
        <v>-10.647</v>
      </c>
      <c r="AY32" s="48">
        <v>-2.395999999999999</v>
      </c>
      <c r="AZ32" s="48">
        <v>-6.995000000000001</v>
      </c>
      <c r="BA32" s="49">
        <v>-24.5</v>
      </c>
      <c r="BB32" s="48">
        <v>-6.7450000000000001</v>
      </c>
      <c r="BC32" s="48">
        <v>-9.1579925900000347</v>
      </c>
      <c r="BD32" s="48">
        <v>-3.923</v>
      </c>
      <c r="BE32" s="48">
        <v>-6.46</v>
      </c>
      <c r="BF32" s="163">
        <v>-26.286000000000001</v>
      </c>
      <c r="BG32" s="48">
        <v>-9.2439999999999998</v>
      </c>
      <c r="BH32" s="48">
        <v>-4.79</v>
      </c>
      <c r="BJ32" s="216"/>
    </row>
    <row r="33" spans="1:62" x14ac:dyDescent="0.4">
      <c r="A33" s="17" t="s">
        <v>107</v>
      </c>
      <c r="B33" s="17" t="s">
        <v>108</v>
      </c>
      <c r="C33" s="9"/>
      <c r="D33" s="108">
        <v>-1.1879999999999999</v>
      </c>
      <c r="E33" s="108">
        <v>-1.409</v>
      </c>
      <c r="F33" s="108">
        <v>1.1830000000000001</v>
      </c>
      <c r="G33" s="108">
        <v>0.80300000000000005</v>
      </c>
      <c r="H33" s="109">
        <v>-0.61099999999999999</v>
      </c>
      <c r="I33" s="108">
        <v>-0.65100000000000002</v>
      </c>
      <c r="J33" s="108">
        <v>0.995</v>
      </c>
      <c r="K33" s="108">
        <v>-1.17</v>
      </c>
      <c r="L33" s="108">
        <v>-2.8319999999999999</v>
      </c>
      <c r="M33" s="109">
        <v>-3.6579999999999999</v>
      </c>
      <c r="N33" s="108">
        <v>-1.409</v>
      </c>
      <c r="O33" s="108">
        <v>-0.52400000000000002</v>
      </c>
      <c r="P33" s="108">
        <v>-1.9719999999999998</v>
      </c>
      <c r="Q33" s="108">
        <v>1.9999999999999998</v>
      </c>
      <c r="R33" s="109">
        <v>-1.905</v>
      </c>
      <c r="S33" s="108">
        <v>-0.57299999999999995</v>
      </c>
      <c r="T33" s="108">
        <v>-1.0010000000000001</v>
      </c>
      <c r="U33" s="108">
        <v>-1.6129999999999998</v>
      </c>
      <c r="V33" s="108">
        <v>-0.52100000000000035</v>
      </c>
      <c r="W33" s="109">
        <v>-3.7080000000000002</v>
      </c>
      <c r="X33" s="108">
        <v>3.3000000000000002E-2</v>
      </c>
      <c r="Y33" s="108">
        <v>-0.33099999999999996</v>
      </c>
      <c r="Z33" s="108">
        <v>-1.321</v>
      </c>
      <c r="AA33" s="108">
        <v>1.054</v>
      </c>
      <c r="AB33" s="109">
        <v>-0.56499999999999995</v>
      </c>
      <c r="AC33" s="108">
        <v>0.69599999999999995</v>
      </c>
      <c r="AD33" s="108">
        <v>6.800000000000006E-2</v>
      </c>
      <c r="AE33" s="108">
        <v>1.7000000000000015E-2</v>
      </c>
      <c r="AF33" s="108">
        <v>-3.7440000000000002</v>
      </c>
      <c r="AG33" s="109">
        <v>-2.9630000000000001</v>
      </c>
      <c r="AH33" s="108">
        <v>0.88300000000000001</v>
      </c>
      <c r="AI33" s="108">
        <v>-0.28700000000000003</v>
      </c>
      <c r="AJ33" s="108">
        <v>3.7629999999999999</v>
      </c>
      <c r="AK33" s="108">
        <v>1.9820000000000002</v>
      </c>
      <c r="AL33" s="109">
        <v>6.3410000000000002</v>
      </c>
      <c r="AM33" s="108">
        <v>-3.673</v>
      </c>
      <c r="AN33" s="108">
        <v>-3.6349999999999998</v>
      </c>
      <c r="AO33" s="108">
        <v>-0.19399999999999995</v>
      </c>
      <c r="AP33" s="108">
        <v>-0.69399999999999995</v>
      </c>
      <c r="AQ33" s="109">
        <v>-8.1959999999999997</v>
      </c>
      <c r="AR33" s="108">
        <v>-0.59025000000000016</v>
      </c>
      <c r="AS33" s="108">
        <v>1.7902500000000001</v>
      </c>
      <c r="AT33" s="108">
        <v>4.0359999999999996</v>
      </c>
      <c r="AU33" s="108">
        <v>0.42499999999999982</v>
      </c>
      <c r="AV33" s="109">
        <v>5.6609999999999996</v>
      </c>
      <c r="AW33" s="108">
        <v>-0.17100000000000001</v>
      </c>
      <c r="AX33" s="108">
        <v>0.375</v>
      </c>
      <c r="AY33" s="108">
        <v>0.24900000000000003</v>
      </c>
      <c r="AZ33" s="108">
        <v>-1.145</v>
      </c>
      <c r="BA33" s="109">
        <v>-0.69199999999999995</v>
      </c>
      <c r="BB33" s="108">
        <v>0.16400000000000001</v>
      </c>
      <c r="BC33" s="108">
        <v>0.60799999999999998</v>
      </c>
      <c r="BD33" s="108">
        <v>0.20599999999999996</v>
      </c>
      <c r="BE33" s="108">
        <v>2.734</v>
      </c>
      <c r="BF33" s="171">
        <v>3.7120000000000002</v>
      </c>
      <c r="BG33" s="108">
        <v>9.1999999999999998E-2</v>
      </c>
      <c r="BH33" s="108">
        <v>-0.73799999999999999</v>
      </c>
      <c r="BJ33" s="216"/>
    </row>
    <row r="34" spans="1:62" x14ac:dyDescent="0.4">
      <c r="A34" s="47" t="s">
        <v>109</v>
      </c>
      <c r="B34" s="47" t="s">
        <v>110</v>
      </c>
      <c r="C34" s="9"/>
      <c r="D34" s="48">
        <v>3.0539999999999998</v>
      </c>
      <c r="E34" s="48">
        <v>3.6230000000000002</v>
      </c>
      <c r="F34" s="48">
        <v>-2.9870000000000001</v>
      </c>
      <c r="G34" s="48">
        <v>0.68799999999999994</v>
      </c>
      <c r="H34" s="49">
        <v>4.3780000000000001</v>
      </c>
      <c r="I34" s="48">
        <v>1.9510000000000001</v>
      </c>
      <c r="J34" s="48">
        <v>-3.0489999999999999</v>
      </c>
      <c r="K34" s="48">
        <v>3.1259999999999999</v>
      </c>
      <c r="L34" s="48">
        <v>8.4540000000000006</v>
      </c>
      <c r="M34" s="49">
        <v>10.481999999999999</v>
      </c>
      <c r="N34" s="48">
        <v>4.1900000000000004</v>
      </c>
      <c r="O34" s="48">
        <v>1.6049999999999995</v>
      </c>
      <c r="P34" s="48">
        <v>5.9150000000000009</v>
      </c>
      <c r="Q34" s="48">
        <v>3.3789999999999996</v>
      </c>
      <c r="R34" s="49">
        <v>15.089</v>
      </c>
      <c r="S34" s="48">
        <v>1.718</v>
      </c>
      <c r="T34" s="48">
        <v>3.0039999999999951</v>
      </c>
      <c r="U34" s="48">
        <v>4.7910000000000048</v>
      </c>
      <c r="V34" s="48">
        <v>2.0999999999999996</v>
      </c>
      <c r="W34" s="49">
        <v>11.613</v>
      </c>
      <c r="X34" s="48">
        <v>1.633</v>
      </c>
      <c r="Y34" s="48">
        <v>0.9910000000000001</v>
      </c>
      <c r="Z34" s="48">
        <v>3.831</v>
      </c>
      <c r="AA34" s="48">
        <v>1.149</v>
      </c>
      <c r="AB34" s="49">
        <v>7.6040000000000001</v>
      </c>
      <c r="AC34" s="48">
        <v>-2.09</v>
      </c>
      <c r="AD34" s="48">
        <v>-0.1120000000000001</v>
      </c>
      <c r="AE34" s="48">
        <v>-4.8999999999999932E-2</v>
      </c>
      <c r="AF34" s="48">
        <v>29.904</v>
      </c>
      <c r="AG34" s="49">
        <v>27.652999999999999</v>
      </c>
      <c r="AH34" s="48">
        <v>-3.3620000000000001</v>
      </c>
      <c r="AI34" s="48">
        <v>-2.7880000000000003</v>
      </c>
      <c r="AJ34" s="48">
        <v>-11.467000000000001</v>
      </c>
      <c r="AK34" s="48">
        <v>-6.9609999999999985</v>
      </c>
      <c r="AL34" s="49">
        <v>-24.577999999999999</v>
      </c>
      <c r="AM34" s="48">
        <v>7.6289999999999996</v>
      </c>
      <c r="AN34" s="48">
        <v>-2.2669999999999995</v>
      </c>
      <c r="AO34" s="48">
        <v>-1.742</v>
      </c>
      <c r="AP34" s="48">
        <v>0.35199999999999987</v>
      </c>
      <c r="AQ34" s="49">
        <v>3.972</v>
      </c>
      <c r="AR34" s="48">
        <v>14.866750000000003</v>
      </c>
      <c r="AS34" s="48">
        <v>-5.7757500000000039</v>
      </c>
      <c r="AT34" s="48">
        <v>-5.8919999999999977</v>
      </c>
      <c r="AU34" s="48">
        <v>1.5609999999999999</v>
      </c>
      <c r="AV34" s="49">
        <v>4.76</v>
      </c>
      <c r="AW34" s="48">
        <v>-4.633</v>
      </c>
      <c r="AX34" s="48">
        <v>-10.271999999999998</v>
      </c>
      <c r="AY34" s="48">
        <v>-2.1470000000000002</v>
      </c>
      <c r="AZ34" s="48">
        <v>-8.14</v>
      </c>
      <c r="BA34" s="49">
        <v>-25.192</v>
      </c>
      <c r="BB34" s="48">
        <v>-6.5810000000000004</v>
      </c>
      <c r="BC34" s="48">
        <v>-8.5499925900000306</v>
      </c>
      <c r="BD34" s="48">
        <v>-3.7169999999999987</v>
      </c>
      <c r="BE34" s="48">
        <v>-3.726</v>
      </c>
      <c r="BF34" s="163">
        <v>-22.574000000000002</v>
      </c>
      <c r="BG34" s="48">
        <v>-9.1519999999999992</v>
      </c>
      <c r="BH34" s="48">
        <v>-5.5279999999999996</v>
      </c>
      <c r="BJ34" s="216"/>
    </row>
    <row r="35" spans="1:62" x14ac:dyDescent="0.4">
      <c r="A35" s="17" t="s">
        <v>230</v>
      </c>
      <c r="B35" s="17" t="s">
        <v>231</v>
      </c>
      <c r="C35" s="9"/>
      <c r="D35" s="108"/>
      <c r="E35" s="108"/>
      <c r="F35" s="108"/>
      <c r="G35" s="108"/>
      <c r="H35" s="109"/>
      <c r="I35" s="108"/>
      <c r="J35" s="108"/>
      <c r="K35" s="108"/>
      <c r="L35" s="108"/>
      <c r="M35" s="109"/>
      <c r="N35" s="108">
        <v>-0.44900000000000001</v>
      </c>
      <c r="O35" s="108">
        <v>-0.35900000000000004</v>
      </c>
      <c r="P35" s="108">
        <v>-0.48699999999999988</v>
      </c>
      <c r="Q35" s="108">
        <v>-0.58400000000000007</v>
      </c>
      <c r="R35" s="109">
        <v>-1.879</v>
      </c>
      <c r="S35" s="108">
        <v>-0.32300000000000001</v>
      </c>
      <c r="T35" s="108">
        <v>-0.69399999999999995</v>
      </c>
      <c r="U35" s="108">
        <v>-0.752</v>
      </c>
      <c r="V35" s="108">
        <v>-0.77200000000000002</v>
      </c>
      <c r="W35" s="109">
        <v>-2.5409999999999999</v>
      </c>
      <c r="X35" s="108">
        <v>-0.83899999999999997</v>
      </c>
      <c r="Y35" s="108">
        <v>-0.59600000000000009</v>
      </c>
      <c r="Z35" s="108">
        <v>-0.84899999999999975</v>
      </c>
      <c r="AA35" s="108">
        <v>-5.0000000000003375E-3</v>
      </c>
      <c r="AB35" s="109">
        <v>-2.2890000000000001</v>
      </c>
      <c r="AC35" s="108">
        <v>-0.214</v>
      </c>
      <c r="AD35" s="108">
        <v>-0.52800000000000002</v>
      </c>
      <c r="AE35" s="108">
        <v>-0.52</v>
      </c>
      <c r="AF35" s="108">
        <v>-0.43799999999999994</v>
      </c>
      <c r="AG35" s="109">
        <v>-1.7</v>
      </c>
      <c r="AH35" s="108">
        <v>-0.3</v>
      </c>
      <c r="AI35" s="108">
        <v>-0.30099999999999999</v>
      </c>
      <c r="AJ35" s="108">
        <v>-0.13400000000000001</v>
      </c>
      <c r="AK35" s="108">
        <v>-0.23299999999999998</v>
      </c>
      <c r="AL35" s="109">
        <v>-0.96799999999999997</v>
      </c>
      <c r="AM35" s="108">
        <v>0.79100000000000004</v>
      </c>
      <c r="AN35" s="108">
        <v>0.20399999999999996</v>
      </c>
      <c r="AO35" s="108">
        <v>-0.88100000000000001</v>
      </c>
      <c r="AP35" s="108">
        <v>0.44000000000000006</v>
      </c>
      <c r="AQ35" s="109">
        <v>0.55400000000000005</v>
      </c>
      <c r="AR35" s="108">
        <v>-1.1950000000000001</v>
      </c>
      <c r="AS35" s="108">
        <v>0</v>
      </c>
      <c r="AT35" s="108">
        <v>-1.0889999999999997</v>
      </c>
      <c r="AU35" s="108">
        <v>-1.3660000000000001</v>
      </c>
      <c r="AV35" s="109">
        <v>-3.65</v>
      </c>
      <c r="AW35" s="108">
        <v>2.1030000000000002</v>
      </c>
      <c r="AX35" s="108">
        <v>4.5180000000000007</v>
      </c>
      <c r="AY35" s="108">
        <v>0.9709999999999992</v>
      </c>
      <c r="AZ35" s="108">
        <v>3.8389999999999995</v>
      </c>
      <c r="BA35" s="109">
        <v>11.430999999999999</v>
      </c>
      <c r="BB35" s="108">
        <v>2.4369999999999998</v>
      </c>
      <c r="BC35" s="108">
        <v>3.6663663690999999</v>
      </c>
      <c r="BD35" s="108">
        <v>1.0700000000000003</v>
      </c>
      <c r="BE35" s="108">
        <v>0.87123999999999979</v>
      </c>
      <c r="BF35" s="171">
        <v>8.0452399999999997</v>
      </c>
      <c r="BG35" s="108">
        <v>4.0430000000000001</v>
      </c>
      <c r="BH35" s="108">
        <v>3.577</v>
      </c>
      <c r="BJ35" s="216"/>
    </row>
    <row r="36" spans="1:62" x14ac:dyDescent="0.4">
      <c r="A36" s="47" t="s">
        <v>232</v>
      </c>
      <c r="B36" s="47" t="s">
        <v>233</v>
      </c>
      <c r="C36" s="9"/>
      <c r="D36" s="48">
        <v>3.0539999999999998</v>
      </c>
      <c r="E36" s="48">
        <v>3.6230000000000002</v>
      </c>
      <c r="F36" s="48">
        <v>-2.9870000000000001</v>
      </c>
      <c r="G36" s="48">
        <v>0.68799999999999994</v>
      </c>
      <c r="H36" s="49">
        <v>4.3780000000000001</v>
      </c>
      <c r="I36" s="48">
        <v>1.9510000000000001</v>
      </c>
      <c r="J36" s="48">
        <v>-3.0489999999999999</v>
      </c>
      <c r="K36" s="48">
        <v>3.1259999999999999</v>
      </c>
      <c r="L36" s="48">
        <v>8.4540000000000006</v>
      </c>
      <c r="M36" s="49">
        <v>10.481999999999999</v>
      </c>
      <c r="N36" s="48">
        <v>3.7410000000000001</v>
      </c>
      <c r="O36" s="48">
        <v>1.246</v>
      </c>
      <c r="P36" s="48">
        <v>5.427999999999999</v>
      </c>
      <c r="Q36" s="48">
        <v>2.7950000000000017</v>
      </c>
      <c r="R36" s="49">
        <v>13.21</v>
      </c>
      <c r="S36" s="48">
        <v>1.395</v>
      </c>
      <c r="T36" s="48">
        <v>2.31</v>
      </c>
      <c r="U36" s="48">
        <v>4.0389999999999997</v>
      </c>
      <c r="V36" s="48">
        <v>1.3279999999999994</v>
      </c>
      <c r="W36" s="49">
        <v>9.0719999999999992</v>
      </c>
      <c r="X36" s="48">
        <v>0.79400000000000004</v>
      </c>
      <c r="Y36" s="48">
        <v>0.39500000000000002</v>
      </c>
      <c r="Z36" s="48">
        <v>2.9820000000000002</v>
      </c>
      <c r="AA36" s="48">
        <v>1.1440000000000001</v>
      </c>
      <c r="AB36" s="49">
        <v>5.3150000000000004</v>
      </c>
      <c r="AC36" s="48">
        <v>-2.3039999999999998</v>
      </c>
      <c r="AD36" s="48">
        <v>-0.64000000000000012</v>
      </c>
      <c r="AE36" s="48">
        <v>-0.56899999999999995</v>
      </c>
      <c r="AF36" s="48">
        <v>29.466000000000001</v>
      </c>
      <c r="AG36" s="49">
        <v>25.952999999999999</v>
      </c>
      <c r="AH36" s="48">
        <v>-3.6619999999999999</v>
      </c>
      <c r="AI36" s="48">
        <v>-3.0890000000000004</v>
      </c>
      <c r="AJ36" s="48">
        <v>-11.600999999999999</v>
      </c>
      <c r="AK36" s="48">
        <v>-7.1939999999999991</v>
      </c>
      <c r="AL36" s="49">
        <v>-25.545999999999999</v>
      </c>
      <c r="AM36" s="48">
        <v>8.42</v>
      </c>
      <c r="AN36" s="48">
        <v>-2.0629999999999997</v>
      </c>
      <c r="AO36" s="48">
        <v>-2.6230000000000002</v>
      </c>
      <c r="AP36" s="48">
        <v>0.79199999999999982</v>
      </c>
      <c r="AQ36" s="49">
        <v>4.5259999999999998</v>
      </c>
      <c r="AR36" s="48">
        <v>13.671750000000003</v>
      </c>
      <c r="AS36" s="48">
        <v>-5.7757500000000039</v>
      </c>
      <c r="AT36" s="48">
        <v>-6.9809999999999972</v>
      </c>
      <c r="AU36" s="48">
        <v>0.19500000000000006</v>
      </c>
      <c r="AV36" s="49">
        <v>1.1100000000000001</v>
      </c>
      <c r="AW36" s="48">
        <v>-2.5299999999999998</v>
      </c>
      <c r="AX36" s="48">
        <v>-5.7540000000000013</v>
      </c>
      <c r="AY36" s="48">
        <v>-1.1760000000000002</v>
      </c>
      <c r="AZ36" s="48">
        <v>-4.3009999999999984</v>
      </c>
      <c r="BA36" s="49">
        <v>-13.760999999999999</v>
      </c>
      <c r="BB36" s="48">
        <v>-4.1440000000000001</v>
      </c>
      <c r="BC36" s="48">
        <v>-4.8836262209000338</v>
      </c>
      <c r="BD36" s="48">
        <v>-2.6470000000000002</v>
      </c>
      <c r="BE36" s="48">
        <v>-2.8547600000000002</v>
      </c>
      <c r="BF36" s="163">
        <v>-14.52876</v>
      </c>
      <c r="BG36" s="48">
        <v>-5.109</v>
      </c>
      <c r="BH36" s="48">
        <v>-1.9510000000000001</v>
      </c>
      <c r="BJ36" s="216"/>
    </row>
    <row r="37" spans="1:62" ht="16.5" thickBot="1" x14ac:dyDescent="0.45">
      <c r="C37" s="9"/>
      <c r="H37" s="33"/>
      <c r="M37" s="33"/>
      <c r="R37" s="33"/>
      <c r="W37" s="33"/>
      <c r="AB37" s="33"/>
      <c r="AG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F37" s="33"/>
      <c r="BJ37" s="216"/>
    </row>
    <row r="38" spans="1:62" ht="16.5" thickBot="1" x14ac:dyDescent="0.45">
      <c r="A38" s="1" t="s">
        <v>111</v>
      </c>
      <c r="B38" s="92" t="s">
        <v>112</v>
      </c>
      <c r="C38" s="21"/>
      <c r="D38" s="3" t="str">
        <f t="shared" ref="D38:AI38" si="8">D1</f>
        <v>1T15</v>
      </c>
      <c r="E38" s="3" t="str">
        <f t="shared" si="8"/>
        <v>2T15</v>
      </c>
      <c r="F38" s="3" t="str">
        <f t="shared" si="8"/>
        <v>3T15</v>
      </c>
      <c r="G38" s="3" t="str">
        <f t="shared" si="8"/>
        <v>4T15</v>
      </c>
      <c r="H38" s="4">
        <f t="shared" si="8"/>
        <v>2015</v>
      </c>
      <c r="I38" s="3" t="str">
        <f t="shared" si="8"/>
        <v>1T16</v>
      </c>
      <c r="J38" s="3" t="str">
        <f t="shared" si="8"/>
        <v>2T16</v>
      </c>
      <c r="K38" s="3" t="str">
        <f t="shared" si="8"/>
        <v>3T16</v>
      </c>
      <c r="L38" s="3" t="str">
        <f t="shared" si="8"/>
        <v>4T16</v>
      </c>
      <c r="M38" s="4">
        <f t="shared" si="8"/>
        <v>2016</v>
      </c>
      <c r="N38" s="3" t="str">
        <f t="shared" si="8"/>
        <v>1T17</v>
      </c>
      <c r="O38" s="3" t="str">
        <f t="shared" si="8"/>
        <v>2T17</v>
      </c>
      <c r="P38" s="3" t="str">
        <f t="shared" si="8"/>
        <v>3T17</v>
      </c>
      <c r="Q38" s="3" t="str">
        <f t="shared" si="8"/>
        <v>4T17</v>
      </c>
      <c r="R38" s="4">
        <f t="shared" si="8"/>
        <v>2017</v>
      </c>
      <c r="S38" s="3" t="str">
        <f t="shared" si="8"/>
        <v>1T18</v>
      </c>
      <c r="T38" s="3" t="str">
        <f t="shared" si="8"/>
        <v>2T18</v>
      </c>
      <c r="U38" s="3" t="str">
        <f t="shared" si="8"/>
        <v>3T18</v>
      </c>
      <c r="V38" s="3" t="str">
        <f t="shared" si="8"/>
        <v>4T18</v>
      </c>
      <c r="W38" s="4">
        <f t="shared" si="8"/>
        <v>2018</v>
      </c>
      <c r="X38" s="3" t="str">
        <f t="shared" si="8"/>
        <v>1T19</v>
      </c>
      <c r="Y38" s="3" t="str">
        <f t="shared" si="8"/>
        <v>2T19</v>
      </c>
      <c r="Z38" s="3" t="str">
        <f t="shared" si="8"/>
        <v>3T19</v>
      </c>
      <c r="AA38" s="3" t="str">
        <f t="shared" si="8"/>
        <v>4T19</v>
      </c>
      <c r="AB38" s="4">
        <f t="shared" si="8"/>
        <v>2019</v>
      </c>
      <c r="AC38" s="3" t="str">
        <f t="shared" si="8"/>
        <v>1T20</v>
      </c>
      <c r="AD38" s="3" t="str">
        <f t="shared" si="8"/>
        <v>2T20</v>
      </c>
      <c r="AE38" s="3" t="str">
        <f t="shared" si="8"/>
        <v>3T20</v>
      </c>
      <c r="AF38" s="3" t="str">
        <f t="shared" si="8"/>
        <v>4T20</v>
      </c>
      <c r="AG38" s="4">
        <f t="shared" si="8"/>
        <v>2020</v>
      </c>
      <c r="AH38" s="3" t="str">
        <f t="shared" si="8"/>
        <v>1T21</v>
      </c>
      <c r="AI38" s="3" t="str">
        <f t="shared" si="8"/>
        <v>2T21</v>
      </c>
      <c r="AJ38" s="3" t="str">
        <f t="shared" ref="AJ38:BB38" si="9">AJ1</f>
        <v>3T21</v>
      </c>
      <c r="AK38" s="3" t="str">
        <f t="shared" si="9"/>
        <v>4T21</v>
      </c>
      <c r="AL38" s="4">
        <f t="shared" si="9"/>
        <v>2021</v>
      </c>
      <c r="AM38" s="3" t="str">
        <f t="shared" si="9"/>
        <v>1T22</v>
      </c>
      <c r="AN38" s="3" t="str">
        <f t="shared" si="9"/>
        <v>2T22</v>
      </c>
      <c r="AO38" s="3" t="str">
        <f t="shared" si="9"/>
        <v>3T22</v>
      </c>
      <c r="AP38" s="3" t="str">
        <f t="shared" si="9"/>
        <v>4T22</v>
      </c>
      <c r="AQ38" s="4">
        <f t="shared" si="9"/>
        <v>2022</v>
      </c>
      <c r="AR38" s="3" t="str">
        <f t="shared" si="9"/>
        <v>1T23</v>
      </c>
      <c r="AS38" s="3" t="str">
        <f t="shared" si="9"/>
        <v>2T23</v>
      </c>
      <c r="AT38" s="3" t="str">
        <f t="shared" si="9"/>
        <v>3T23</v>
      </c>
      <c r="AU38" s="3" t="s">
        <v>37</v>
      </c>
      <c r="AV38" s="4">
        <v>2023</v>
      </c>
      <c r="AW38" s="3" t="str">
        <f t="shared" si="9"/>
        <v>1T24</v>
      </c>
      <c r="AX38" s="3" t="str">
        <f t="shared" si="9"/>
        <v>2T24</v>
      </c>
      <c r="AY38" s="3" t="str">
        <f t="shared" si="9"/>
        <v>3T24</v>
      </c>
      <c r="AZ38" s="3" t="str">
        <f t="shared" si="9"/>
        <v>4T24</v>
      </c>
      <c r="BA38" s="4">
        <f t="shared" si="9"/>
        <v>2024</v>
      </c>
      <c r="BB38" s="3" t="str">
        <f t="shared" si="9"/>
        <v>1T25</v>
      </c>
      <c r="BC38" s="3" t="s">
        <v>383</v>
      </c>
      <c r="BD38" s="3" t="s">
        <v>384</v>
      </c>
      <c r="BE38" s="3" t="s">
        <v>385</v>
      </c>
      <c r="BF38" s="4">
        <v>2025</v>
      </c>
      <c r="BG38" s="3" t="s">
        <v>386</v>
      </c>
      <c r="BH38" s="3" t="s">
        <v>387</v>
      </c>
      <c r="BJ38" s="216"/>
    </row>
    <row r="39" spans="1:62" x14ac:dyDescent="0.4">
      <c r="A39" s="72" t="s">
        <v>87</v>
      </c>
      <c r="B39" s="72" t="s">
        <v>87</v>
      </c>
      <c r="C39" s="103"/>
      <c r="D39" s="55">
        <v>9.7759999999999998</v>
      </c>
      <c r="E39" s="55">
        <v>9.0440000000000005</v>
      </c>
      <c r="F39" s="55">
        <v>14.329000000000001</v>
      </c>
      <c r="G39" s="55">
        <v>1.9239999999999999</v>
      </c>
      <c r="H39" s="110">
        <v>35.06</v>
      </c>
      <c r="I39" s="55">
        <v>7.7249999999999996</v>
      </c>
      <c r="J39" s="55">
        <v>0.71799999999999997</v>
      </c>
      <c r="K39" s="55">
        <v>8.9480000000000004</v>
      </c>
      <c r="L39" s="55">
        <v>12.76</v>
      </c>
      <c r="M39" s="110">
        <v>30.151</v>
      </c>
      <c r="N39" s="55">
        <v>10.702999999999999</v>
      </c>
      <c r="O39" s="55">
        <v>7.9499999999999993</v>
      </c>
      <c r="P39" s="55">
        <v>14.350999999999999</v>
      </c>
      <c r="Q39" s="55">
        <v>12.431000000000004</v>
      </c>
      <c r="R39" s="110">
        <v>45.435000000000002</v>
      </c>
      <c r="S39" s="55">
        <v>8.8140000000000001</v>
      </c>
      <c r="T39" s="55">
        <v>10.850000000000001</v>
      </c>
      <c r="U39" s="55">
        <v>12.881999999999998</v>
      </c>
      <c r="V39" s="55">
        <v>12.741</v>
      </c>
      <c r="W39" s="110">
        <v>45.286999999999999</v>
      </c>
      <c r="X39" s="55">
        <v>13.122</v>
      </c>
      <c r="Y39" s="55">
        <v>12.537000000000001</v>
      </c>
      <c r="Z39" s="55">
        <v>15.891000000000002</v>
      </c>
      <c r="AA39" s="55">
        <v>10.295999999999999</v>
      </c>
      <c r="AB39" s="110">
        <v>51.845999999999997</v>
      </c>
      <c r="AC39" s="55">
        <v>11.321</v>
      </c>
      <c r="AD39" s="55">
        <v>15.537000000000001</v>
      </c>
      <c r="AE39" s="55">
        <v>15.540000000000003</v>
      </c>
      <c r="AF39" s="55">
        <v>17.350999999999999</v>
      </c>
      <c r="AG39" s="110">
        <v>59.749000000000002</v>
      </c>
      <c r="AH39" s="55">
        <v>8.5169999999999995</v>
      </c>
      <c r="AI39" s="55">
        <v>9.4480000000000004</v>
      </c>
      <c r="AJ39" s="55">
        <v>-3.6069999999999993</v>
      </c>
      <c r="AK39" s="55">
        <v>3.4349999999999987</v>
      </c>
      <c r="AL39" s="110">
        <v>17.792999999999999</v>
      </c>
      <c r="AM39" s="55">
        <v>25.638000000000002</v>
      </c>
      <c r="AN39" s="55">
        <v>52.920999999999992</v>
      </c>
      <c r="AO39" s="55">
        <v>17.749000000000009</v>
      </c>
      <c r="AP39" s="55">
        <v>13.538999999999987</v>
      </c>
      <c r="AQ39" s="110">
        <v>109.84699999999999</v>
      </c>
      <c r="AR39" s="55">
        <v>27.431000000000001</v>
      </c>
      <c r="AS39" s="55">
        <v>4.1838626410082753</v>
      </c>
      <c r="AT39" s="55">
        <v>4.3780000000000037</v>
      </c>
      <c r="AU39" s="55">
        <v>6.6540000000000035</v>
      </c>
      <c r="AV39" s="110">
        <v>42.645000000000003</v>
      </c>
      <c r="AW39" s="55">
        <v>6.6280000000000001</v>
      </c>
      <c r="AX39" s="55">
        <v>4.6150000000000002</v>
      </c>
      <c r="AY39" s="55">
        <v>9.4</v>
      </c>
      <c r="AZ39" s="55">
        <v>5.6750000000000007</v>
      </c>
      <c r="BA39" s="110">
        <v>26.318000000000001</v>
      </c>
      <c r="BB39" s="55">
        <v>5.9930000000000003</v>
      </c>
      <c r="BC39" s="55">
        <v>3.520999999999999</v>
      </c>
      <c r="BD39" s="55">
        <v>8.4009999999999998</v>
      </c>
      <c r="BE39" s="55">
        <v>9.5169999999999995</v>
      </c>
      <c r="BF39" s="159">
        <v>27.431999999999999</v>
      </c>
      <c r="BG39" s="55">
        <v>2.5619999999999998</v>
      </c>
      <c r="BH39" s="55">
        <v>4.5369999999999999</v>
      </c>
      <c r="BJ39" s="216"/>
    </row>
    <row r="40" spans="1:62" x14ac:dyDescent="0.4">
      <c r="A40" s="9" t="s">
        <v>113</v>
      </c>
      <c r="B40" s="9" t="s">
        <v>234</v>
      </c>
      <c r="C40" s="9"/>
      <c r="D40" s="6"/>
      <c r="E40" s="6"/>
      <c r="F40" s="6"/>
      <c r="G40" s="6"/>
      <c r="H40" s="7">
        <v>-5.1417586684891283</v>
      </c>
      <c r="I40" s="6">
        <v>-0.22780511999999975</v>
      </c>
      <c r="J40" s="6">
        <v>1.4591817900000013</v>
      </c>
      <c r="K40" s="6">
        <v>-0.16840215000000508</v>
      </c>
      <c r="L40" s="6">
        <v>-0.52821550999999856</v>
      </c>
      <c r="M40" s="7">
        <v>0.53458401000000133</v>
      </c>
      <c r="N40" s="6">
        <v>1.282811346818892</v>
      </c>
      <c r="O40" s="6">
        <v>-0.41672296938286463</v>
      </c>
      <c r="P40" s="6">
        <v>-0.11119568834305332</v>
      </c>
      <c r="Q40" s="6">
        <v>-1.1191257347604462</v>
      </c>
      <c r="R40" s="7">
        <v>-0.36423304566747217</v>
      </c>
      <c r="S40" s="6">
        <v>2.5377034572138952</v>
      </c>
      <c r="T40" s="6">
        <v>-1.080365408714536</v>
      </c>
      <c r="U40" s="6">
        <v>4.5997740855809681</v>
      </c>
      <c r="V40" s="6">
        <v>2.3646549566187294</v>
      </c>
      <c r="W40" s="7">
        <v>8.4217670906990563</v>
      </c>
      <c r="X40" s="6">
        <v>5.0563523455041004</v>
      </c>
      <c r="Y40" s="6">
        <v>-1.4037617505850399</v>
      </c>
      <c r="Z40" s="6">
        <v>0.24805740640998702</v>
      </c>
      <c r="AA40" s="6">
        <v>2.7281861776519905</v>
      </c>
      <c r="AB40" s="7">
        <v>6.6288341789810294</v>
      </c>
      <c r="AC40" s="6">
        <v>-2.8976524955489897</v>
      </c>
      <c r="AD40" s="6">
        <v>-7.3988390807612099</v>
      </c>
      <c r="AE40" s="6">
        <v>-6.0064805895550002</v>
      </c>
      <c r="AF40" s="6">
        <v>-12.745777955980273</v>
      </c>
      <c r="AG40" s="7">
        <v>-29.048750121845472</v>
      </c>
      <c r="AH40" s="6">
        <v>1.7894821799999998</v>
      </c>
      <c r="AI40" s="6">
        <v>2.59151782</v>
      </c>
      <c r="AJ40" s="6">
        <v>18.023886154381291</v>
      </c>
      <c r="AK40" s="6">
        <v>44.283175184793762</v>
      </c>
      <c r="AL40" s="7">
        <v>66.68806133917505</v>
      </c>
      <c r="AM40" s="6">
        <v>34.518260504793766</v>
      </c>
      <c r="AN40" s="6">
        <v>-21.968000000000004</v>
      </c>
      <c r="AO40" s="6">
        <v>3.4225610000000084</v>
      </c>
      <c r="AP40" s="6">
        <v>-3.7373269100000037</v>
      </c>
      <c r="AQ40" s="7">
        <v>12.250529459587531</v>
      </c>
      <c r="AR40" s="6">
        <v>-3.2160000000000002</v>
      </c>
      <c r="AS40" s="6">
        <v>-3.2320000000000002</v>
      </c>
      <c r="AT40" s="6">
        <f>-1.26-0.3</f>
        <v>-1.56</v>
      </c>
      <c r="AU40" s="6">
        <v>-16.431999999999999</v>
      </c>
      <c r="AV40" s="7">
        <v>-24.382999999999999</v>
      </c>
      <c r="AW40" s="6">
        <v>-0.92199999999999982</v>
      </c>
      <c r="AX40" s="6">
        <v>-0.64100000000000013</v>
      </c>
      <c r="AY40" s="6">
        <v>-1.208</v>
      </c>
      <c r="AZ40" s="6">
        <v>2.2080000000000002</v>
      </c>
      <c r="BA40" s="7">
        <v>-0.56300000000000006</v>
      </c>
      <c r="BB40" s="6">
        <v>-0.77700000000000002</v>
      </c>
      <c r="BC40" s="6">
        <v>-0.25799999999999995</v>
      </c>
      <c r="BD40" s="6">
        <v>-0.78500000000000014</v>
      </c>
      <c r="BE40" s="6">
        <v>-1.252</v>
      </c>
      <c r="BF40" s="158">
        <v>-3.0710000000000002</v>
      </c>
      <c r="BG40" s="6">
        <v>-0.313</v>
      </c>
      <c r="BH40" s="6">
        <v>-1.2989999999999999</v>
      </c>
      <c r="BJ40" s="216"/>
    </row>
    <row r="41" spans="1:62" x14ac:dyDescent="0.4">
      <c r="A41" s="9" t="s">
        <v>115</v>
      </c>
      <c r="B41" s="9" t="s">
        <v>116</v>
      </c>
      <c r="C41" s="9"/>
      <c r="D41" s="6">
        <v>-2.9790000000000001</v>
      </c>
      <c r="E41" s="6">
        <v>0.33818650788989635</v>
      </c>
      <c r="F41" s="6">
        <v>-3.1441865078898963</v>
      </c>
      <c r="G41" s="6">
        <v>-0.7</v>
      </c>
      <c r="H41" s="7">
        <v>-6.4850000000000003</v>
      </c>
      <c r="I41" s="6">
        <v>-4.6287087187575784</v>
      </c>
      <c r="J41" s="6">
        <v>0.31474012707573457</v>
      </c>
      <c r="K41" s="6">
        <v>16.2747668630596</v>
      </c>
      <c r="L41" s="6">
        <v>14.381576000401571</v>
      </c>
      <c r="M41" s="7">
        <v>26.342374271779345</v>
      </c>
      <c r="N41" s="6">
        <v>-1.6051530806145951</v>
      </c>
      <c r="O41" s="6">
        <v>-2.7580144576807757</v>
      </c>
      <c r="P41" s="6">
        <v>-7.1640080825329528</v>
      </c>
      <c r="Q41" s="6">
        <v>4.4454311205340815</v>
      </c>
      <c r="R41" s="7">
        <v>-7.0817445002942421</v>
      </c>
      <c r="S41" s="6">
        <v>-1.9056674139298171</v>
      </c>
      <c r="T41" s="6">
        <v>1.2682002472245033</v>
      </c>
      <c r="U41" s="6">
        <v>-3.6615328332946864</v>
      </c>
      <c r="V41" s="6">
        <v>8.7639999999999993</v>
      </c>
      <c r="W41" s="7">
        <v>4.464999999999999</v>
      </c>
      <c r="X41" s="6">
        <v>-5.7939999999999996</v>
      </c>
      <c r="Y41" s="6">
        <v>10.652999999999999</v>
      </c>
      <c r="Z41" s="6">
        <v>-14.964</v>
      </c>
      <c r="AA41" s="6">
        <v>25.84</v>
      </c>
      <c r="AB41" s="7">
        <v>15.734999999999999</v>
      </c>
      <c r="AC41" s="6">
        <v>-1.4770000000000001</v>
      </c>
      <c r="AD41" s="6">
        <v>-0.9159999999999997</v>
      </c>
      <c r="AE41" s="6">
        <v>12.870000000000001</v>
      </c>
      <c r="AF41" s="6">
        <v>13.2</v>
      </c>
      <c r="AG41" s="7">
        <v>23.677</v>
      </c>
      <c r="AH41" s="6">
        <v>-13.959</v>
      </c>
      <c r="AI41" s="6">
        <v>10.64</v>
      </c>
      <c r="AJ41" s="6">
        <v>-11.898884389999999</v>
      </c>
      <c r="AK41" s="6">
        <v>4.644000000000001</v>
      </c>
      <c r="AL41" s="7">
        <v>-10.573</v>
      </c>
      <c r="AM41" s="6">
        <v>7</v>
      </c>
      <c r="AN41" s="6">
        <v>27.632999999999999</v>
      </c>
      <c r="AO41" s="6">
        <v>32.652383999999998</v>
      </c>
      <c r="AP41" s="6">
        <v>3.2827055187309018</v>
      </c>
      <c r="AQ41" s="7">
        <v>70.582089518730896</v>
      </c>
      <c r="AR41" s="6">
        <v>-66.871939810000001</v>
      </c>
      <c r="AS41" s="6">
        <v>-18.006988308448641</v>
      </c>
      <c r="AT41" s="6">
        <v>14.12700000000001</v>
      </c>
      <c r="AU41" s="6">
        <v>17.385999999999996</v>
      </c>
      <c r="AV41" s="7">
        <v>-53.366000000000007</v>
      </c>
      <c r="AW41" s="6">
        <v>-24.243000000000002</v>
      </c>
      <c r="AX41" s="6">
        <v>15.287000000000001</v>
      </c>
      <c r="AY41" s="6">
        <v>-9.1669999999999998</v>
      </c>
      <c r="AZ41" s="6">
        <v>-11.183</v>
      </c>
      <c r="BA41" s="7">
        <v>-29.310999999999996</v>
      </c>
      <c r="BB41" s="6">
        <v>-2.266</v>
      </c>
      <c r="BC41" s="6">
        <v>2.5209227599999728</v>
      </c>
      <c r="BD41" s="6">
        <v>-9.2250000000000014</v>
      </c>
      <c r="BE41" s="6">
        <v>-5.391</v>
      </c>
      <c r="BF41" s="158">
        <v>-14.361000000000001</v>
      </c>
      <c r="BG41" s="6">
        <v>-4.9029999999999996</v>
      </c>
      <c r="BH41" s="6">
        <v>-1.58</v>
      </c>
      <c r="BJ41" s="216"/>
    </row>
    <row r="42" spans="1:62" x14ac:dyDescent="0.4">
      <c r="A42" s="9" t="s">
        <v>117</v>
      </c>
      <c r="B42" s="9" t="s">
        <v>235</v>
      </c>
      <c r="C42" s="9"/>
      <c r="D42" s="6">
        <v>8.1024735551399978</v>
      </c>
      <c r="E42" s="6">
        <v>0</v>
      </c>
      <c r="F42" s="6">
        <v>1.9102055126273225</v>
      </c>
      <c r="G42" s="6">
        <v>-1.4656790677673197</v>
      </c>
      <c r="H42" s="7">
        <v>8.5470000000000006</v>
      </c>
      <c r="I42" s="6">
        <v>-9.9500000000000013E-6</v>
      </c>
      <c r="J42" s="6">
        <v>-0.126</v>
      </c>
      <c r="K42" s="6">
        <v>0</v>
      </c>
      <c r="L42" s="6">
        <v>-0.93995505000000013</v>
      </c>
      <c r="M42" s="7">
        <v>-1.0659650000000001</v>
      </c>
      <c r="N42" s="6">
        <v>0</v>
      </c>
      <c r="O42" s="6">
        <v>-1.2924676802416912</v>
      </c>
      <c r="P42" s="6">
        <v>0.28996010999999999</v>
      </c>
      <c r="Q42" s="6">
        <v>-4.1510037745706345</v>
      </c>
      <c r="R42" s="7">
        <v>-5.1535113448123253</v>
      </c>
      <c r="S42" s="6">
        <v>0.28527415500000031</v>
      </c>
      <c r="T42" s="6">
        <v>-1.0819774737499985</v>
      </c>
      <c r="U42" s="6">
        <v>-0.55648654060035652</v>
      </c>
      <c r="V42" s="6">
        <v>-0.7784069606496451</v>
      </c>
      <c r="W42" s="7">
        <v>-2.1315968199999999</v>
      </c>
      <c r="X42" s="6">
        <v>9.54796975592129E-2</v>
      </c>
      <c r="Y42" s="6">
        <v>-0.26746398964491902</v>
      </c>
      <c r="Z42" s="6">
        <v>4.6651551727224766E-2</v>
      </c>
      <c r="AA42" s="6">
        <v>-2.0179525457434253</v>
      </c>
      <c r="AB42" s="7">
        <v>-2.1432852861019067</v>
      </c>
      <c r="AC42" s="6">
        <v>1.20526065</v>
      </c>
      <c r="AD42" s="6">
        <v>-0.19709500124999924</v>
      </c>
      <c r="AE42" s="6">
        <v>-0.16017281499999969</v>
      </c>
      <c r="AF42" s="6">
        <v>-1.2118271068540967</v>
      </c>
      <c r="AG42" s="7">
        <v>-0.3638342731040955</v>
      </c>
      <c r="AH42" s="6">
        <v>0.34899999999999998</v>
      </c>
      <c r="AI42" s="6">
        <v>-9.7999999999999976E-2</v>
      </c>
      <c r="AJ42" s="6">
        <v>-6.633</v>
      </c>
      <c r="AK42" s="6">
        <v>-0.49600000000000044</v>
      </c>
      <c r="AL42" s="7">
        <v>-6.8780000000000001</v>
      </c>
      <c r="AM42" s="6">
        <v>7.2999999999999995E-2</v>
      </c>
      <c r="AN42" s="6">
        <v>-2.5299999999999998</v>
      </c>
      <c r="AO42" s="6">
        <v>0</v>
      </c>
      <c r="AP42" s="6">
        <v>-6.1830000000000007</v>
      </c>
      <c r="AQ42" s="7">
        <v>-8.64</v>
      </c>
      <c r="AR42" s="6">
        <v>1.4999999999999999E-2</v>
      </c>
      <c r="AS42" s="6">
        <v>-10.164</v>
      </c>
      <c r="AT42" s="6">
        <v>9.9999999999944578E-4</v>
      </c>
      <c r="AU42" s="6">
        <v>0.94099999999999895</v>
      </c>
      <c r="AV42" s="7">
        <v>-9.2070000000000007</v>
      </c>
      <c r="AW42" s="6">
        <v>0.25700000000000001</v>
      </c>
      <c r="AX42" s="6">
        <v>-0.54400000000000004</v>
      </c>
      <c r="AY42" s="6">
        <v>0</v>
      </c>
      <c r="AZ42" s="6">
        <v>9.8980000000000015</v>
      </c>
      <c r="BA42" s="7">
        <v>9.6110000000000007</v>
      </c>
      <c r="BB42" s="6">
        <v>0.26700000000000002</v>
      </c>
      <c r="BC42" s="6">
        <v>3.5999999999999976E-2</v>
      </c>
      <c r="BD42" s="6">
        <v>-2.0000000000000018E-3</v>
      </c>
      <c r="BE42" s="6">
        <v>0.28599999999999998</v>
      </c>
      <c r="BF42" s="158">
        <v>0.58699999999999997</v>
      </c>
      <c r="BG42" s="6">
        <v>0.26</v>
      </c>
      <c r="BH42" s="6">
        <v>-0.19400000000000001</v>
      </c>
      <c r="BJ42" s="216"/>
    </row>
    <row r="43" spans="1:62" x14ac:dyDescent="0.4">
      <c r="A43" s="9" t="s">
        <v>119</v>
      </c>
      <c r="B43" s="9" t="s">
        <v>120</v>
      </c>
      <c r="C43" s="21"/>
      <c r="D43" s="6">
        <v>-0.93613011569465565</v>
      </c>
      <c r="E43" s="6">
        <v>-3.4508244756946547</v>
      </c>
      <c r="F43" s="6">
        <v>-1.1604581171123967</v>
      </c>
      <c r="G43" s="6">
        <v>-1.9455872914982921</v>
      </c>
      <c r="H43" s="7">
        <v>-7.4589999999999996</v>
      </c>
      <c r="I43" s="6">
        <v>-0.73530056901654506</v>
      </c>
      <c r="J43" s="6">
        <v>-3.7226628478250117</v>
      </c>
      <c r="K43" s="6">
        <v>-0.55288892583609694</v>
      </c>
      <c r="L43" s="6">
        <v>-3.6111171531185877</v>
      </c>
      <c r="M43" s="7">
        <v>-8.6008925347155092</v>
      </c>
      <c r="N43" s="6">
        <v>-0.67124883727867157</v>
      </c>
      <c r="O43" s="6">
        <v>-3.5312650381302406</v>
      </c>
      <c r="P43" s="6">
        <v>-0.6990330056256111</v>
      </c>
      <c r="Q43" s="6">
        <v>-5.0162576958987461</v>
      </c>
      <c r="R43" s="7">
        <v>-9.9178045769332694</v>
      </c>
      <c r="S43" s="6">
        <v>-1.0634382554169404</v>
      </c>
      <c r="T43" s="6">
        <v>-3.8571894483144327</v>
      </c>
      <c r="U43" s="6">
        <v>-0.75142792857941565</v>
      </c>
      <c r="V43" s="6">
        <v>-4.3433315116578104</v>
      </c>
      <c r="W43" s="7">
        <v>-10.015387143968599</v>
      </c>
      <c r="X43" s="6">
        <v>-1.0885978124810767</v>
      </c>
      <c r="Y43" s="6">
        <v>-5.684885415856904</v>
      </c>
      <c r="Z43" s="6">
        <v>-0.62164491385652898</v>
      </c>
      <c r="AA43" s="6">
        <v>-3.6553595450215148</v>
      </c>
      <c r="AB43" s="7">
        <v>-11.050487687216025</v>
      </c>
      <c r="AC43" s="6">
        <v>-0.68615207380382726</v>
      </c>
      <c r="AD43" s="6">
        <v>-6.6600785619033802</v>
      </c>
      <c r="AE43" s="6">
        <v>-1.2090974891169823</v>
      </c>
      <c r="AF43" s="6">
        <v>-6.9998764152926611</v>
      </c>
      <c r="AG43" s="7">
        <v>-15.555204540116851</v>
      </c>
      <c r="AH43" s="6">
        <v>-0.61199999999999999</v>
      </c>
      <c r="AI43" s="6">
        <v>-5.702</v>
      </c>
      <c r="AJ43" s="6">
        <v>-0.64700000000000024</v>
      </c>
      <c r="AK43" s="6">
        <v>-5.32</v>
      </c>
      <c r="AL43" s="7">
        <v>-12.281000000000001</v>
      </c>
      <c r="AM43" s="6">
        <v>-3.2389999999999999</v>
      </c>
      <c r="AN43" s="6">
        <v>-6.5279999999999996</v>
      </c>
      <c r="AO43" s="6">
        <v>-2.4120000000000008</v>
      </c>
      <c r="AP43" s="6">
        <v>-4.8390000000000004</v>
      </c>
      <c r="AQ43" s="7">
        <v>-17.018000000000001</v>
      </c>
      <c r="AR43" s="6">
        <v>-1.8340000000000001</v>
      </c>
      <c r="AS43" s="6">
        <v>-4.5939999999999994</v>
      </c>
      <c r="AT43" s="6">
        <v>-1.6779999999999999</v>
      </c>
      <c r="AU43" s="6">
        <v>-5.0530000000000008</v>
      </c>
      <c r="AV43" s="7">
        <v>-13.159000000000001</v>
      </c>
      <c r="AW43" s="6">
        <v>-1.597</v>
      </c>
      <c r="AX43" s="6">
        <v>-5.1039999999999992</v>
      </c>
      <c r="AY43" s="6">
        <v>-1.8170000000000011</v>
      </c>
      <c r="AZ43" s="6">
        <v>-5.6739999999999995</v>
      </c>
      <c r="BA43" s="7">
        <v>-14.192</v>
      </c>
      <c r="BB43" s="6">
        <v>-1.3879999999999999</v>
      </c>
      <c r="BC43" s="6">
        <v>-6.6210000000000004</v>
      </c>
      <c r="BD43" s="6">
        <v>-1.4640000000000004</v>
      </c>
      <c r="BE43" s="6">
        <v>-6.18</v>
      </c>
      <c r="BF43" s="158">
        <v>-15.653</v>
      </c>
      <c r="BG43" s="6">
        <v>-1.204</v>
      </c>
      <c r="BH43" s="6">
        <v>-6.1120000000000001</v>
      </c>
      <c r="BJ43" s="216"/>
    </row>
    <row r="44" spans="1:62" x14ac:dyDescent="0.4">
      <c r="A44" s="47" t="s">
        <v>121</v>
      </c>
      <c r="B44" s="47" t="s">
        <v>122</v>
      </c>
      <c r="C44" s="21"/>
      <c r="D44" s="48">
        <v>14.006343439445342</v>
      </c>
      <c r="E44" s="48">
        <v>5.301749363706115</v>
      </c>
      <c r="F44" s="48">
        <v>12.343173556114158</v>
      </c>
      <c r="G44" s="48">
        <v>-7.1300250277547379</v>
      </c>
      <c r="H44" s="49">
        <v>24.521241331510879</v>
      </c>
      <c r="I44" s="48">
        <v>2.1931756422258757</v>
      </c>
      <c r="J44" s="48">
        <v>-1.3567409307492757</v>
      </c>
      <c r="K44" s="48">
        <v>24.501475787223516</v>
      </c>
      <c r="L44" s="48">
        <v>22.062288287282982</v>
      </c>
      <c r="M44" s="49">
        <v>47.361100747063844</v>
      </c>
      <c r="N44" s="48">
        <v>9.709409428925623</v>
      </c>
      <c r="O44" s="48">
        <v>-4.8470145435572487E-2</v>
      </c>
      <c r="P44" s="48">
        <v>6.6667233334983829</v>
      </c>
      <c r="Q44" s="48">
        <v>6.5900439153042587</v>
      </c>
      <c r="R44" s="49">
        <v>22.917706532292698</v>
      </c>
      <c r="S44" s="48">
        <v>8.6678719428671354</v>
      </c>
      <c r="T44" s="48">
        <v>6.0986679164455389</v>
      </c>
      <c r="U44" s="48">
        <v>12.512326783106507</v>
      </c>
      <c r="V44" s="48">
        <v>18.747916484311276</v>
      </c>
      <c r="W44" s="49">
        <v>46.02678312673045</v>
      </c>
      <c r="X44" s="48">
        <v>11.391234230582235</v>
      </c>
      <c r="Y44" s="48">
        <v>15.833888843913133</v>
      </c>
      <c r="Z44" s="48">
        <v>0.60006404428068483</v>
      </c>
      <c r="AA44" s="48">
        <v>33.19087408688705</v>
      </c>
      <c r="AB44" s="49">
        <v>61.0160612056631</v>
      </c>
      <c r="AC44" s="48">
        <v>7.465456080647181</v>
      </c>
      <c r="AD44" s="48">
        <v>0.36498735608541022</v>
      </c>
      <c r="AE44" s="48">
        <v>21.034249106328026</v>
      </c>
      <c r="AF44" s="48">
        <v>9.593518521872987</v>
      </c>
      <c r="AG44" s="49">
        <v>38.458211064933593</v>
      </c>
      <c r="AH44" s="48">
        <f t="shared" ref="AH44:AM44" si="10">SUM(AH39:AH43)</f>
        <v>-3.9155178199999998</v>
      </c>
      <c r="AI44" s="48">
        <f t="shared" si="10"/>
        <v>16.879517820000004</v>
      </c>
      <c r="AJ44" s="48">
        <f t="shared" si="10"/>
        <v>-4.7619982356187078</v>
      </c>
      <c r="AK44" s="48">
        <f t="shared" si="10"/>
        <v>46.546175184793761</v>
      </c>
      <c r="AL44" s="49">
        <f t="shared" si="10"/>
        <v>54.74906133917505</v>
      </c>
      <c r="AM44" s="48">
        <f t="shared" si="10"/>
        <v>63.99026050479376</v>
      </c>
      <c r="AN44" s="48">
        <v>49.543034864793754</v>
      </c>
      <c r="AO44" s="48">
        <v>51.411945000000017</v>
      </c>
      <c r="AP44" s="48">
        <v>2.0623786087308842</v>
      </c>
      <c r="AQ44" s="49">
        <v>167.0216189783184</v>
      </c>
      <c r="AR44" s="48">
        <v>-44.475940220000012</v>
      </c>
      <c r="AS44" s="48">
        <v>-31.812923208448638</v>
      </c>
      <c r="AT44" s="48">
        <v>15.268000000000011</v>
      </c>
      <c r="AU44" s="48">
        <v>3.9820004199999914</v>
      </c>
      <c r="AV44" s="49">
        <v>-56.983999999999995</v>
      </c>
      <c r="AW44" s="48">
        <v>-19.876999999999999</v>
      </c>
      <c r="AX44" s="48">
        <v>13.613000000000003</v>
      </c>
      <c r="AY44" s="48">
        <v>-2.7920000000000007</v>
      </c>
      <c r="AZ44" s="48">
        <v>0.92400000000000304</v>
      </c>
      <c r="BA44" s="49">
        <v>-8.1369999999999933</v>
      </c>
      <c r="BB44" s="48">
        <v>1.8290000000000002</v>
      </c>
      <c r="BC44" s="48">
        <v>-0.801077240000029</v>
      </c>
      <c r="BD44" s="48">
        <v>-3.075000000000002</v>
      </c>
      <c r="BE44" s="48">
        <v>-3.0200000000000009</v>
      </c>
      <c r="BF44" s="163">
        <v>-5.0460000000000047</v>
      </c>
      <c r="BG44" s="48">
        <v>-3.5979999999999999</v>
      </c>
      <c r="BH44" s="48">
        <v>-4.6479999999999997</v>
      </c>
      <c r="BJ44" s="216"/>
    </row>
    <row r="45" spans="1:62" ht="16.5" thickBot="1" x14ac:dyDescent="0.45">
      <c r="A45" s="21"/>
      <c r="B45" s="21"/>
      <c r="C45" s="2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118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F45" s="51"/>
      <c r="BJ45" s="216"/>
    </row>
    <row r="46" spans="1:62" ht="16.5" thickBot="1" x14ac:dyDescent="0.45">
      <c r="A46" s="1" t="s">
        <v>123</v>
      </c>
      <c r="B46" s="92" t="s">
        <v>124</v>
      </c>
      <c r="D46" s="3" t="str">
        <f t="shared" ref="D46:AI46" si="11">D1</f>
        <v>1T15</v>
      </c>
      <c r="E46" s="3" t="str">
        <f t="shared" si="11"/>
        <v>2T15</v>
      </c>
      <c r="F46" s="3" t="str">
        <f t="shared" si="11"/>
        <v>3T15</v>
      </c>
      <c r="G46" s="3" t="str">
        <f t="shared" si="11"/>
        <v>4T15</v>
      </c>
      <c r="H46" s="4">
        <f t="shared" si="11"/>
        <v>2015</v>
      </c>
      <c r="I46" s="3" t="str">
        <f t="shared" si="11"/>
        <v>1T16</v>
      </c>
      <c r="J46" s="3" t="str">
        <f t="shared" si="11"/>
        <v>2T16</v>
      </c>
      <c r="K46" s="3" t="str">
        <f t="shared" si="11"/>
        <v>3T16</v>
      </c>
      <c r="L46" s="3" t="str">
        <f t="shared" si="11"/>
        <v>4T16</v>
      </c>
      <c r="M46" s="4">
        <f t="shared" si="11"/>
        <v>2016</v>
      </c>
      <c r="N46" s="3" t="str">
        <f t="shared" si="11"/>
        <v>1T17</v>
      </c>
      <c r="O46" s="3" t="str">
        <f t="shared" si="11"/>
        <v>2T17</v>
      </c>
      <c r="P46" s="3" t="str">
        <f t="shared" si="11"/>
        <v>3T17</v>
      </c>
      <c r="Q46" s="3" t="str">
        <f t="shared" si="11"/>
        <v>4T17</v>
      </c>
      <c r="R46" s="4">
        <f t="shared" si="11"/>
        <v>2017</v>
      </c>
      <c r="S46" s="3" t="str">
        <f t="shared" si="11"/>
        <v>1T18</v>
      </c>
      <c r="T46" s="3" t="str">
        <f t="shared" si="11"/>
        <v>2T18</v>
      </c>
      <c r="U46" s="3" t="str">
        <f t="shared" si="11"/>
        <v>3T18</v>
      </c>
      <c r="V46" s="3" t="str">
        <f t="shared" si="11"/>
        <v>4T18</v>
      </c>
      <c r="W46" s="4">
        <f t="shared" si="11"/>
        <v>2018</v>
      </c>
      <c r="X46" s="3" t="str">
        <f t="shared" si="11"/>
        <v>1T19</v>
      </c>
      <c r="Y46" s="3" t="str">
        <f t="shared" si="11"/>
        <v>2T19</v>
      </c>
      <c r="Z46" s="3" t="str">
        <f t="shared" si="11"/>
        <v>3T19</v>
      </c>
      <c r="AA46" s="3" t="str">
        <f t="shared" si="11"/>
        <v>4T19</v>
      </c>
      <c r="AB46" s="4">
        <f t="shared" si="11"/>
        <v>2019</v>
      </c>
      <c r="AC46" s="3" t="str">
        <f t="shared" si="11"/>
        <v>1T20</v>
      </c>
      <c r="AD46" s="3" t="str">
        <f t="shared" si="11"/>
        <v>2T20</v>
      </c>
      <c r="AE46" s="3" t="str">
        <f t="shared" si="11"/>
        <v>3T20</v>
      </c>
      <c r="AF46" s="3" t="str">
        <f t="shared" si="11"/>
        <v>4T20</v>
      </c>
      <c r="AG46" s="4">
        <f t="shared" si="11"/>
        <v>2020</v>
      </c>
      <c r="AH46" s="3" t="str">
        <f t="shared" si="11"/>
        <v>1T21</v>
      </c>
      <c r="AI46" s="3" t="str">
        <f t="shared" si="11"/>
        <v>2T21</v>
      </c>
      <c r="AJ46" s="3" t="str">
        <f t="shared" ref="AJ46:BB46" si="12">AJ1</f>
        <v>3T21</v>
      </c>
      <c r="AK46" s="3" t="str">
        <f t="shared" si="12"/>
        <v>4T21</v>
      </c>
      <c r="AL46" s="4">
        <f t="shared" si="12"/>
        <v>2021</v>
      </c>
      <c r="AM46" s="3" t="str">
        <f t="shared" si="12"/>
        <v>1T22</v>
      </c>
      <c r="AN46" s="3" t="str">
        <f t="shared" si="12"/>
        <v>2T22</v>
      </c>
      <c r="AO46" s="3" t="str">
        <f t="shared" si="12"/>
        <v>3T22</v>
      </c>
      <c r="AP46" s="3" t="str">
        <f t="shared" si="12"/>
        <v>4T22</v>
      </c>
      <c r="AQ46" s="4">
        <f t="shared" si="12"/>
        <v>2022</v>
      </c>
      <c r="AR46" s="3" t="str">
        <f t="shared" si="12"/>
        <v>1T23</v>
      </c>
      <c r="AS46" s="3" t="str">
        <f t="shared" si="12"/>
        <v>2T23</v>
      </c>
      <c r="AT46" s="3" t="str">
        <f t="shared" si="12"/>
        <v>3T23</v>
      </c>
      <c r="AU46" s="3" t="s">
        <v>37</v>
      </c>
      <c r="AV46" s="4">
        <v>2023</v>
      </c>
      <c r="AW46" s="3" t="str">
        <f t="shared" si="12"/>
        <v>1T24</v>
      </c>
      <c r="AX46" s="3" t="str">
        <f t="shared" si="12"/>
        <v>2T24</v>
      </c>
      <c r="AY46" s="3" t="str">
        <f t="shared" si="12"/>
        <v>3T24</v>
      </c>
      <c r="AZ46" s="3" t="str">
        <f t="shared" si="12"/>
        <v>4T24</v>
      </c>
      <c r="BA46" s="4">
        <f t="shared" si="12"/>
        <v>2024</v>
      </c>
      <c r="BB46" s="3" t="str">
        <f t="shared" si="12"/>
        <v>1T25</v>
      </c>
      <c r="BC46" s="3" t="s">
        <v>383</v>
      </c>
      <c r="BD46" s="3" t="s">
        <v>384</v>
      </c>
      <c r="BE46" s="3" t="s">
        <v>385</v>
      </c>
      <c r="BF46" s="4">
        <v>2025</v>
      </c>
      <c r="BG46" s="3" t="s">
        <v>386</v>
      </c>
      <c r="BH46" s="3" t="s">
        <v>387</v>
      </c>
      <c r="BJ46" s="216"/>
    </row>
    <row r="47" spans="1:62" x14ac:dyDescent="0.4">
      <c r="A47" s="9" t="s">
        <v>125</v>
      </c>
      <c r="B47" s="9" t="s">
        <v>126</v>
      </c>
      <c r="C47" s="9"/>
      <c r="D47" s="6">
        <v>-9.8000000000000004E-2</v>
      </c>
      <c r="E47" s="6">
        <v>-0.39417899999999995</v>
      </c>
      <c r="F47" s="6">
        <v>-9.9821000000000021E-2</v>
      </c>
      <c r="G47" s="6">
        <v>-0.62</v>
      </c>
      <c r="H47" s="119">
        <v>-1.212</v>
      </c>
      <c r="I47" s="6">
        <v>0.21362899999999996</v>
      </c>
      <c r="J47" s="6">
        <v>-2.4645555015472668E-2</v>
      </c>
      <c r="K47" s="6">
        <v>0.51657500000000001</v>
      </c>
      <c r="L47" s="6">
        <v>1.4877968700000002</v>
      </c>
      <c r="M47" s="119">
        <v>2.1933553149845273</v>
      </c>
      <c r="N47" s="6">
        <v>-0.45888100000000009</v>
      </c>
      <c r="O47" s="6">
        <v>-2.0534910000000002</v>
      </c>
      <c r="P47" s="6">
        <v>-0.31969019999999926</v>
      </c>
      <c r="Q47" s="6">
        <v>1.3380621999999998</v>
      </c>
      <c r="R47" s="119">
        <v>-1.494</v>
      </c>
      <c r="S47" s="6">
        <v>0.48594064999999942</v>
      </c>
      <c r="T47" s="6">
        <v>0.2123382800000011</v>
      </c>
      <c r="U47" s="6">
        <v>2.0687210699999996</v>
      </c>
      <c r="V47" s="6">
        <v>-9.2000000000000082E-2</v>
      </c>
      <c r="W47" s="119">
        <v>2.6749999999999998</v>
      </c>
      <c r="X47" s="6">
        <v>-1.9359999999999999</v>
      </c>
      <c r="Y47" s="6">
        <v>-1.0590000000000002</v>
      </c>
      <c r="Z47" s="6">
        <v>0.56099999999999994</v>
      </c>
      <c r="AA47" s="6">
        <v>-1.6109999999999998</v>
      </c>
      <c r="AB47" s="119">
        <v>-4.0449999999999999</v>
      </c>
      <c r="AC47" s="6">
        <v>-3.653</v>
      </c>
      <c r="AD47" s="6">
        <v>-0.87299999999999978</v>
      </c>
      <c r="AE47" s="6">
        <v>1.069</v>
      </c>
      <c r="AF47" s="6">
        <v>4.5369999999999999</v>
      </c>
      <c r="AG47" s="119">
        <v>1.08</v>
      </c>
      <c r="AH47" s="6">
        <v>-0.78600000000000003</v>
      </c>
      <c r="AI47" s="6">
        <v>-5.6679999999999993</v>
      </c>
      <c r="AJ47" s="6">
        <v>-0.18200000000000038</v>
      </c>
      <c r="AK47" s="6">
        <v>4.6100000000000003</v>
      </c>
      <c r="AL47" s="119">
        <v>-2.0259999999999998</v>
      </c>
      <c r="AM47" s="6">
        <v>1.1000000000000001</v>
      </c>
      <c r="AN47" s="6">
        <v>-2.2839999999999998</v>
      </c>
      <c r="AO47" s="6">
        <v>-0.19399999999999995</v>
      </c>
      <c r="AP47" s="6">
        <v>-8.9012944812691011</v>
      </c>
      <c r="AQ47" s="119">
        <v>-10.292294481269101</v>
      </c>
      <c r="AR47" s="6">
        <v>-0.50293981000000121</v>
      </c>
      <c r="AS47" s="6">
        <v>-5.5220506359486334</v>
      </c>
      <c r="AT47" s="6">
        <v>8.0862610899999918</v>
      </c>
      <c r="AU47" s="6">
        <v>-2.4302706440513582</v>
      </c>
      <c r="AV47" s="119">
        <v>-0.36899999999999999</v>
      </c>
      <c r="AW47" s="6">
        <v>2.3210000000000002</v>
      </c>
      <c r="AX47" s="6">
        <v>-2.9590000000000001</v>
      </c>
      <c r="AY47" s="6">
        <v>0.67100000000000004</v>
      </c>
      <c r="AZ47" s="6">
        <v>8.6999999999999994E-2</v>
      </c>
      <c r="BA47" s="119">
        <v>0.12</v>
      </c>
      <c r="BB47" s="6">
        <v>-2.6949999999999998</v>
      </c>
      <c r="BC47" s="6">
        <v>-4.8390772400000266</v>
      </c>
      <c r="BD47" s="6">
        <v>-2.4769999999999994</v>
      </c>
      <c r="BE47" s="6">
        <v>-1.026</v>
      </c>
      <c r="BF47" s="207">
        <v>-11.037000000000001</v>
      </c>
      <c r="BG47" s="6">
        <v>-4.024</v>
      </c>
      <c r="BH47" s="6">
        <v>-13.388999999999999</v>
      </c>
      <c r="BJ47" s="216"/>
    </row>
    <row r="48" spans="1:62" x14ac:dyDescent="0.4">
      <c r="A48" s="9" t="s">
        <v>127</v>
      </c>
      <c r="B48" s="9" t="s">
        <v>128</v>
      </c>
      <c r="C48" s="9"/>
      <c r="D48" s="6">
        <v>-6.4580000000000002</v>
      </c>
      <c r="E48" s="6">
        <v>2.2489811999560114</v>
      </c>
      <c r="F48" s="6">
        <v>-5.9859811999560115</v>
      </c>
      <c r="G48" s="6">
        <v>3.3580000000000001</v>
      </c>
      <c r="H48" s="7">
        <v>-6.8369999999999997</v>
      </c>
      <c r="I48" s="6">
        <v>-3.4649321609421513</v>
      </c>
      <c r="J48" s="6">
        <v>-1.370094900517608</v>
      </c>
      <c r="K48" s="6">
        <v>13.465864723079717</v>
      </c>
      <c r="L48" s="6">
        <v>11.95137042276478</v>
      </c>
      <c r="M48" s="7">
        <v>20.582208084384735</v>
      </c>
      <c r="N48" s="6">
        <v>-3.5121962867771117</v>
      </c>
      <c r="O48" s="6">
        <v>1.4191740977218528</v>
      </c>
      <c r="P48" s="6">
        <v>-7.0211922139740031</v>
      </c>
      <c r="Q48" s="6">
        <v>1.2680153567338595</v>
      </c>
      <c r="R48" s="7">
        <v>-7.8461990462954025</v>
      </c>
      <c r="S48" s="6">
        <v>1.1514523644385248</v>
      </c>
      <c r="T48" s="6">
        <v>-4.2348089186101667E-3</v>
      </c>
      <c r="U48" s="6">
        <v>-6.1202175555199148</v>
      </c>
      <c r="V48" s="6">
        <v>8.3870000000000005</v>
      </c>
      <c r="W48" s="7">
        <v>3.4140000000000001</v>
      </c>
      <c r="X48" s="6">
        <v>-1.843</v>
      </c>
      <c r="Y48" s="6">
        <v>6.7030000000000003</v>
      </c>
      <c r="Z48" s="6">
        <v>-13.137</v>
      </c>
      <c r="AA48" s="6">
        <v>22.664000000000001</v>
      </c>
      <c r="AB48" s="7">
        <v>14.387</v>
      </c>
      <c r="AC48" s="6">
        <v>2.2530000000000001</v>
      </c>
      <c r="AD48" s="6">
        <v>-9.6559999999999988</v>
      </c>
      <c r="AE48" s="6">
        <v>-1.5529999999999999</v>
      </c>
      <c r="AF48" s="6">
        <v>6.177999999999999</v>
      </c>
      <c r="AG48" s="7">
        <v>-2.778</v>
      </c>
      <c r="AH48" s="6">
        <v>-6.766</v>
      </c>
      <c r="AI48" s="6">
        <v>12.164</v>
      </c>
      <c r="AJ48" s="6">
        <v>1.0449999999999999</v>
      </c>
      <c r="AK48" s="6">
        <v>-12.728999999999999</v>
      </c>
      <c r="AL48" s="7">
        <v>-6.2859999999999996</v>
      </c>
      <c r="AM48" s="6">
        <v>18.052</v>
      </c>
      <c r="AN48" s="6">
        <v>-7.8239999999999998</v>
      </c>
      <c r="AO48" s="6">
        <v>-4.2</v>
      </c>
      <c r="AP48" s="6">
        <v>-5.4099999999999993</v>
      </c>
      <c r="AQ48" s="7">
        <v>0.61799999999999999</v>
      </c>
      <c r="AR48" s="6">
        <v>-6.0999999999999999E-2</v>
      </c>
      <c r="AS48" s="6">
        <v>13.8364737375</v>
      </c>
      <c r="AT48" s="6">
        <v>7.9405262625000006</v>
      </c>
      <c r="AU48" s="6">
        <v>12.168999999999997</v>
      </c>
      <c r="AV48" s="7">
        <v>33.884999999999998</v>
      </c>
      <c r="AW48" s="6">
        <v>-26.758000000000003</v>
      </c>
      <c r="AX48" s="6">
        <v>10.309000000000001</v>
      </c>
      <c r="AY48" s="6">
        <v>-4.6099999999999994</v>
      </c>
      <c r="AZ48" s="6">
        <v>-7.4719999999999978</v>
      </c>
      <c r="BA48" s="7">
        <v>-28.530999999999999</v>
      </c>
      <c r="BB48" s="6">
        <v>9.8979999999999997</v>
      </c>
      <c r="BC48" s="6">
        <v>4.343</v>
      </c>
      <c r="BD48" s="6">
        <v>1.077</v>
      </c>
      <c r="BE48" s="6">
        <v>1.2909999999999999</v>
      </c>
      <c r="BF48" s="158">
        <v>16.609000000000002</v>
      </c>
      <c r="BG48" s="6">
        <v>-1.1040000000000001</v>
      </c>
      <c r="BH48" s="6">
        <v>5.2649999999999997</v>
      </c>
      <c r="BJ48" s="216"/>
    </row>
    <row r="49" spans="1:62" x14ac:dyDescent="0.4">
      <c r="A49" s="9" t="s">
        <v>129</v>
      </c>
      <c r="B49" s="9" t="s">
        <v>236</v>
      </c>
      <c r="C49" s="9"/>
      <c r="D49" s="6">
        <v>0</v>
      </c>
      <c r="E49" s="6">
        <v>0</v>
      </c>
      <c r="F49" s="6">
        <v>0</v>
      </c>
      <c r="G49" s="6">
        <v>0</v>
      </c>
      <c r="H49" s="7">
        <v>0</v>
      </c>
      <c r="I49" s="6">
        <v>0</v>
      </c>
      <c r="J49" s="6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6">
        <v>0</v>
      </c>
      <c r="R49" s="7">
        <v>0</v>
      </c>
      <c r="S49" s="6">
        <v>0</v>
      </c>
      <c r="T49" s="6">
        <v>0</v>
      </c>
      <c r="U49" s="6">
        <v>0</v>
      </c>
      <c r="V49" s="6">
        <v>0</v>
      </c>
      <c r="W49" s="7">
        <v>0</v>
      </c>
      <c r="X49" s="6">
        <v>0</v>
      </c>
      <c r="Y49" s="6">
        <v>0</v>
      </c>
      <c r="Z49" s="6">
        <v>0</v>
      </c>
      <c r="AA49" s="6">
        <v>0</v>
      </c>
      <c r="AB49" s="7">
        <v>0</v>
      </c>
      <c r="AC49" s="6">
        <v>0</v>
      </c>
      <c r="AD49" s="6">
        <v>0</v>
      </c>
      <c r="AE49" s="6">
        <v>0</v>
      </c>
      <c r="AF49" s="6">
        <v>0</v>
      </c>
      <c r="AG49" s="7">
        <v>0</v>
      </c>
      <c r="AH49" s="6">
        <v>0</v>
      </c>
      <c r="AI49" s="6">
        <v>0</v>
      </c>
      <c r="AJ49" s="6">
        <v>-0.14988439000000001</v>
      </c>
      <c r="AK49" s="6">
        <v>0.14899999999999999</v>
      </c>
      <c r="AL49" s="7">
        <v>0</v>
      </c>
      <c r="AM49" s="6">
        <v>0</v>
      </c>
      <c r="AN49" s="6">
        <v>0</v>
      </c>
      <c r="AO49" s="6">
        <v>-2.0176159999999999</v>
      </c>
      <c r="AP49" s="6">
        <v>1.9979999999999996</v>
      </c>
      <c r="AQ49" s="7">
        <v>-1.9616000000000248E-2</v>
      </c>
      <c r="AR49" s="6">
        <v>0</v>
      </c>
      <c r="AS49" s="6">
        <v>0</v>
      </c>
      <c r="AT49" s="6">
        <v>0</v>
      </c>
      <c r="AU49" s="6">
        <v>0</v>
      </c>
      <c r="AV49" s="7">
        <v>0</v>
      </c>
      <c r="AW49" s="6">
        <v>0</v>
      </c>
      <c r="AX49" s="6">
        <v>0</v>
      </c>
      <c r="AY49" s="6">
        <v>-0.13999999999999999</v>
      </c>
      <c r="AZ49" s="6">
        <v>0.153</v>
      </c>
      <c r="BA49" s="7">
        <v>0</v>
      </c>
      <c r="BB49" s="6">
        <v>0</v>
      </c>
      <c r="BC49" s="6">
        <v>0</v>
      </c>
      <c r="BD49" s="6">
        <v>0</v>
      </c>
      <c r="BE49" s="6">
        <v>0</v>
      </c>
      <c r="BF49" s="158">
        <v>0</v>
      </c>
      <c r="BG49" s="6">
        <v>0</v>
      </c>
      <c r="BH49" s="6">
        <v>0</v>
      </c>
      <c r="BJ49" s="216"/>
    </row>
    <row r="50" spans="1:62" x14ac:dyDescent="0.4">
      <c r="A50" s="9" t="s">
        <v>131</v>
      </c>
      <c r="B50" s="9" t="s">
        <v>132</v>
      </c>
      <c r="C50" s="9"/>
      <c r="D50" s="6">
        <v>3.577</v>
      </c>
      <c r="E50" s="6">
        <v>-1.5166156920661151</v>
      </c>
      <c r="F50" s="6">
        <v>2.9</v>
      </c>
      <c r="G50" s="6">
        <v>-3.4380000000000002</v>
      </c>
      <c r="H50" s="7">
        <v>1.5640000000000001</v>
      </c>
      <c r="I50" s="6">
        <v>-1.3774055578154267</v>
      </c>
      <c r="J50" s="6">
        <v>1.7094805826088151</v>
      </c>
      <c r="K50" s="6">
        <v>2.2923271399799012</v>
      </c>
      <c r="L50" s="6">
        <v>0.9424087076367923</v>
      </c>
      <c r="M50" s="7">
        <v>3.5668108724100822</v>
      </c>
      <c r="N50" s="6">
        <v>2.365924206162517</v>
      </c>
      <c r="O50" s="6">
        <v>-2.1236975554026292</v>
      </c>
      <c r="P50" s="6">
        <v>0.17687433144105066</v>
      </c>
      <c r="Q50" s="6">
        <v>1.8391887638002222</v>
      </c>
      <c r="R50" s="7">
        <v>2.2582897460011608</v>
      </c>
      <c r="S50" s="6">
        <v>-3.5430604283683413</v>
      </c>
      <c r="T50" s="6">
        <v>1.0600967761431122</v>
      </c>
      <c r="U50" s="6">
        <v>0.38996365222522922</v>
      </c>
      <c r="V50" s="6">
        <v>0.46899999999999986</v>
      </c>
      <c r="W50" s="7">
        <v>-1.6240000000000001</v>
      </c>
      <c r="X50" s="6">
        <v>-2.0150000000000001</v>
      </c>
      <c r="Y50" s="6">
        <v>5.0090000000000003</v>
      </c>
      <c r="Z50" s="6">
        <v>-2.3880000000000003</v>
      </c>
      <c r="AA50" s="6">
        <v>4.7869999999999999</v>
      </c>
      <c r="AB50" s="7">
        <v>5.3929999999999998</v>
      </c>
      <c r="AC50" s="6">
        <v>-7.6999999999999999E-2</v>
      </c>
      <c r="AD50" s="6">
        <v>9.6129999999999995</v>
      </c>
      <c r="AE50" s="6">
        <v>13.354000000000001</v>
      </c>
      <c r="AF50" s="6">
        <v>2.4849999999999994</v>
      </c>
      <c r="AG50" s="7">
        <v>25.375</v>
      </c>
      <c r="AH50" s="6">
        <v>-6.407</v>
      </c>
      <c r="AI50" s="6">
        <v>4.1440000000000001</v>
      </c>
      <c r="AJ50" s="6">
        <v>-12.611999999999998</v>
      </c>
      <c r="AK50" s="6">
        <v>12.614000000000001</v>
      </c>
      <c r="AL50" s="7">
        <v>-2.2610000000000001</v>
      </c>
      <c r="AM50" s="6">
        <v>-12.125</v>
      </c>
      <c r="AN50" s="6">
        <v>37.731999999999999</v>
      </c>
      <c r="AO50" s="6">
        <v>39.072000000000003</v>
      </c>
      <c r="AP50" s="6">
        <v>15.596999999999994</v>
      </c>
      <c r="AQ50" s="7">
        <v>80.275999999999996</v>
      </c>
      <c r="AR50" s="6">
        <v>-66.308000000000007</v>
      </c>
      <c r="AS50" s="6">
        <v>-26.321411409999996</v>
      </c>
      <c r="AT50" s="6">
        <v>-1.8995885899999934</v>
      </c>
      <c r="AU50" s="6">
        <v>7.6469999999999914</v>
      </c>
      <c r="AV50" s="7">
        <v>-86.882000000000005</v>
      </c>
      <c r="AW50" s="6">
        <v>0.19400000000000001</v>
      </c>
      <c r="AX50" s="6">
        <v>7.9449999999999994</v>
      </c>
      <c r="AY50" s="6">
        <v>-5.0879999999999992</v>
      </c>
      <c r="AZ50" s="6">
        <v>-3.9510000000000001</v>
      </c>
      <c r="BA50" s="7">
        <v>-0.9</v>
      </c>
      <c r="BB50" s="6">
        <v>-9.4689999999999994</v>
      </c>
      <c r="BC50" s="6">
        <v>3.0169999999999995</v>
      </c>
      <c r="BD50" s="6">
        <v>-7.8249999999999993</v>
      </c>
      <c r="BE50" s="6">
        <v>-5.6559999999999997</v>
      </c>
      <c r="BF50" s="158">
        <v>-19.933</v>
      </c>
      <c r="BG50" s="6">
        <v>0.22500000000000001</v>
      </c>
      <c r="BH50" s="6">
        <v>6.5439999999999996</v>
      </c>
      <c r="BJ50" s="216"/>
    </row>
    <row r="51" spans="1:62" x14ac:dyDescent="0.4">
      <c r="A51" s="47" t="s">
        <v>115</v>
      </c>
      <c r="B51" s="47" t="s">
        <v>116</v>
      </c>
      <c r="C51" s="9"/>
      <c r="D51" s="48">
        <v>-2.9790000000000001</v>
      </c>
      <c r="E51" s="48">
        <v>0.33818650788989646</v>
      </c>
      <c r="F51" s="48">
        <v>-3.1</v>
      </c>
      <c r="G51" s="48">
        <v>-0.70000000000000018</v>
      </c>
      <c r="H51" s="49">
        <v>-6.4849999999999994</v>
      </c>
      <c r="I51" s="48">
        <v>-4.6287087187575784</v>
      </c>
      <c r="J51" s="48">
        <v>0.3147401270757344</v>
      </c>
      <c r="K51" s="48">
        <v>16.274766863059618</v>
      </c>
      <c r="L51" s="48">
        <v>14.381576000401573</v>
      </c>
      <c r="M51" s="49">
        <v>26.342374271779342</v>
      </c>
      <c r="N51" s="48">
        <v>-1.6051530806145946</v>
      </c>
      <c r="O51" s="48">
        <v>-2.7580144576807766</v>
      </c>
      <c r="P51" s="48">
        <v>-7.164008082532952</v>
      </c>
      <c r="Q51" s="48">
        <v>4.4452663205340812</v>
      </c>
      <c r="R51" s="49">
        <v>-7.0819093002942424</v>
      </c>
      <c r="S51" s="48">
        <v>-1.9056674139298171</v>
      </c>
      <c r="T51" s="48">
        <v>1.2682002472245031</v>
      </c>
      <c r="U51" s="48">
        <v>-3.6615328332946859</v>
      </c>
      <c r="V51" s="48">
        <v>8.7639999999999993</v>
      </c>
      <c r="W51" s="49">
        <v>4.4649999999999999</v>
      </c>
      <c r="X51" s="48">
        <v>-5.7940000000000005</v>
      </c>
      <c r="Y51" s="48">
        <v>10.653</v>
      </c>
      <c r="Z51" s="48">
        <v>-14.964</v>
      </c>
      <c r="AA51" s="48">
        <v>25.84</v>
      </c>
      <c r="AB51" s="49">
        <v>15.734999999999999</v>
      </c>
      <c r="AC51" s="48">
        <v>-1.4769999999999999</v>
      </c>
      <c r="AD51" s="48">
        <v>-0.91599999999999859</v>
      </c>
      <c r="AE51" s="48">
        <v>12.870000000000001</v>
      </c>
      <c r="AF51" s="48">
        <v>13.2</v>
      </c>
      <c r="AG51" s="49">
        <v>23.677</v>
      </c>
      <c r="AH51" s="48">
        <v>-13.959</v>
      </c>
      <c r="AI51" s="48">
        <v>10.64</v>
      </c>
      <c r="AJ51" s="48">
        <v>-11.898884389999999</v>
      </c>
      <c r="AK51" s="48">
        <v>4.644000000000001</v>
      </c>
      <c r="AL51" s="49">
        <v>-10.573</v>
      </c>
      <c r="AM51" s="48">
        <v>7.027000000000001</v>
      </c>
      <c r="AN51" s="48">
        <v>27.632999999999999</v>
      </c>
      <c r="AO51" s="48">
        <v>32.660384000000001</v>
      </c>
      <c r="AP51" s="48">
        <v>3.2837055187308923</v>
      </c>
      <c r="AQ51" s="49">
        <v>70.582089518730896</v>
      </c>
      <c r="AR51" s="48">
        <v>-66.871939810000015</v>
      </c>
      <c r="AS51" s="48">
        <v>-18.00698830844863</v>
      </c>
      <c r="AT51" s="48">
        <v>14.127198762500001</v>
      </c>
      <c r="AU51" s="48">
        <v>17.38572935594863</v>
      </c>
      <c r="AV51" s="49">
        <v>-53.366000000000007</v>
      </c>
      <c r="AW51" s="48">
        <v>-24.243000000000002</v>
      </c>
      <c r="AX51" s="48">
        <v>15.295000000000002</v>
      </c>
      <c r="AY51" s="48">
        <v>-9.166999999999998</v>
      </c>
      <c r="AZ51" s="48">
        <v>-11.182999999999998</v>
      </c>
      <c r="BA51" s="49">
        <v>-29.310999999999996</v>
      </c>
      <c r="BB51" s="48">
        <v>-2.266</v>
      </c>
      <c r="BC51" s="48">
        <v>2.5209227599999728</v>
      </c>
      <c r="BD51" s="48">
        <v>-9.2249999999999979</v>
      </c>
      <c r="BE51" s="48">
        <v>-5.391</v>
      </c>
      <c r="BF51" s="163">
        <v>-14.360999999999999</v>
      </c>
      <c r="BG51" s="48">
        <v>-4.9030000000000005</v>
      </c>
      <c r="BH51" s="48">
        <v>-1.5799999999999992</v>
      </c>
      <c r="BJ51" s="216"/>
    </row>
    <row r="52" spans="1:62" ht="16.5" thickBot="1" x14ac:dyDescent="0.45">
      <c r="A52" s="21"/>
      <c r="B52" s="21"/>
      <c r="C52" s="103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F52" s="51"/>
      <c r="BJ52" s="216"/>
    </row>
    <row r="53" spans="1:62" ht="16.5" thickBot="1" x14ac:dyDescent="0.45">
      <c r="A53" s="1" t="s">
        <v>133</v>
      </c>
      <c r="B53" s="92" t="s">
        <v>134</v>
      </c>
      <c r="C53" s="30"/>
      <c r="D53" s="3" t="str">
        <f t="shared" ref="D53:AI53" si="13">D1</f>
        <v>1T15</v>
      </c>
      <c r="E53" s="3" t="str">
        <f t="shared" si="13"/>
        <v>2T15</v>
      </c>
      <c r="F53" s="3" t="str">
        <f t="shared" si="13"/>
        <v>3T15</v>
      </c>
      <c r="G53" s="3" t="str">
        <f t="shared" si="13"/>
        <v>4T15</v>
      </c>
      <c r="H53" s="4">
        <f t="shared" si="13"/>
        <v>2015</v>
      </c>
      <c r="I53" s="3" t="str">
        <f t="shared" si="13"/>
        <v>1T16</v>
      </c>
      <c r="J53" s="3" t="str">
        <f t="shared" si="13"/>
        <v>2T16</v>
      </c>
      <c r="K53" s="3" t="str">
        <f t="shared" si="13"/>
        <v>3T16</v>
      </c>
      <c r="L53" s="3" t="str">
        <f t="shared" si="13"/>
        <v>4T16</v>
      </c>
      <c r="M53" s="4">
        <f t="shared" si="13"/>
        <v>2016</v>
      </c>
      <c r="N53" s="3" t="str">
        <f t="shared" si="13"/>
        <v>1T17</v>
      </c>
      <c r="O53" s="3" t="str">
        <f t="shared" si="13"/>
        <v>2T17</v>
      </c>
      <c r="P53" s="3" t="str">
        <f t="shared" si="13"/>
        <v>3T17</v>
      </c>
      <c r="Q53" s="3" t="str">
        <f t="shared" si="13"/>
        <v>4T17</v>
      </c>
      <c r="R53" s="4">
        <f t="shared" si="13"/>
        <v>2017</v>
      </c>
      <c r="S53" s="3" t="str">
        <f t="shared" si="13"/>
        <v>1T18</v>
      </c>
      <c r="T53" s="3" t="str">
        <f t="shared" si="13"/>
        <v>2T18</v>
      </c>
      <c r="U53" s="3" t="str">
        <f t="shared" si="13"/>
        <v>3T18</v>
      </c>
      <c r="V53" s="3" t="str">
        <f t="shared" si="13"/>
        <v>4T18</v>
      </c>
      <c r="W53" s="4">
        <f t="shared" si="13"/>
        <v>2018</v>
      </c>
      <c r="X53" s="3" t="str">
        <f t="shared" si="13"/>
        <v>1T19</v>
      </c>
      <c r="Y53" s="3" t="str">
        <f t="shared" si="13"/>
        <v>2T19</v>
      </c>
      <c r="Z53" s="3" t="str">
        <f t="shared" si="13"/>
        <v>3T19</v>
      </c>
      <c r="AA53" s="3" t="str">
        <f t="shared" si="13"/>
        <v>4T19</v>
      </c>
      <c r="AB53" s="4">
        <f t="shared" si="13"/>
        <v>2019</v>
      </c>
      <c r="AC53" s="3" t="str">
        <f t="shared" si="13"/>
        <v>1T20</v>
      </c>
      <c r="AD53" s="3" t="str">
        <f t="shared" si="13"/>
        <v>2T20</v>
      </c>
      <c r="AE53" s="3" t="str">
        <f t="shared" si="13"/>
        <v>3T20</v>
      </c>
      <c r="AF53" s="3" t="str">
        <f t="shared" si="13"/>
        <v>4T20</v>
      </c>
      <c r="AG53" s="4">
        <f t="shared" si="13"/>
        <v>2020</v>
      </c>
      <c r="AH53" s="3" t="str">
        <f t="shared" si="13"/>
        <v>1T21</v>
      </c>
      <c r="AI53" s="3" t="str">
        <f t="shared" si="13"/>
        <v>2T21</v>
      </c>
      <c r="AJ53" s="3" t="str">
        <f t="shared" ref="AJ53:BB53" si="14">AJ1</f>
        <v>3T21</v>
      </c>
      <c r="AK53" s="3" t="str">
        <f t="shared" si="14"/>
        <v>4T21</v>
      </c>
      <c r="AL53" s="4">
        <f t="shared" si="14"/>
        <v>2021</v>
      </c>
      <c r="AM53" s="3" t="str">
        <f t="shared" si="14"/>
        <v>1T22</v>
      </c>
      <c r="AN53" s="3" t="str">
        <f t="shared" si="14"/>
        <v>2T22</v>
      </c>
      <c r="AO53" s="3" t="str">
        <f t="shared" si="14"/>
        <v>3T22</v>
      </c>
      <c r="AP53" s="3" t="str">
        <f t="shared" si="14"/>
        <v>4T22</v>
      </c>
      <c r="AQ53" s="4">
        <f t="shared" si="14"/>
        <v>2022</v>
      </c>
      <c r="AR53" s="3" t="str">
        <f t="shared" si="14"/>
        <v>1T23</v>
      </c>
      <c r="AS53" s="3" t="str">
        <f t="shared" si="14"/>
        <v>2T23</v>
      </c>
      <c r="AT53" s="3" t="str">
        <f t="shared" si="14"/>
        <v>3T23</v>
      </c>
      <c r="AU53" s="3" t="s">
        <v>37</v>
      </c>
      <c r="AV53" s="4">
        <v>2023</v>
      </c>
      <c r="AW53" s="3" t="str">
        <f t="shared" si="14"/>
        <v>1T24</v>
      </c>
      <c r="AX53" s="3" t="str">
        <f t="shared" si="14"/>
        <v>2T24</v>
      </c>
      <c r="AY53" s="3" t="str">
        <f t="shared" si="14"/>
        <v>3T24</v>
      </c>
      <c r="AZ53" s="3" t="str">
        <f t="shared" si="14"/>
        <v>4T24</v>
      </c>
      <c r="BA53" s="4">
        <f t="shared" si="14"/>
        <v>2024</v>
      </c>
      <c r="BB53" s="3" t="str">
        <f t="shared" si="14"/>
        <v>1T25</v>
      </c>
      <c r="BC53" s="3" t="s">
        <v>383</v>
      </c>
      <c r="BD53" s="3" t="s">
        <v>384</v>
      </c>
      <c r="BE53" s="3" t="s">
        <v>385</v>
      </c>
      <c r="BF53" s="4">
        <v>2025</v>
      </c>
      <c r="BG53" s="3" t="s">
        <v>386</v>
      </c>
      <c r="BH53" s="3" t="s">
        <v>387</v>
      </c>
      <c r="BJ53" s="216"/>
    </row>
    <row r="54" spans="1:62" x14ac:dyDescent="0.4">
      <c r="A54" s="9" t="s">
        <v>237</v>
      </c>
      <c r="B54" s="9" t="s">
        <v>238</v>
      </c>
      <c r="C54" s="9"/>
      <c r="D54" s="6">
        <v>-1.5489999999999999</v>
      </c>
      <c r="E54" s="6">
        <v>-0.40664100000000003</v>
      </c>
      <c r="F54" s="6">
        <v>-0.69010600000000011</v>
      </c>
      <c r="G54" s="6">
        <v>-1.1199999999999999</v>
      </c>
      <c r="H54" s="119">
        <v>-5.2657470000000002</v>
      </c>
      <c r="I54" s="6">
        <v>-0.55000000000000004</v>
      </c>
      <c r="J54" s="6">
        <v>-0.55000000000000004</v>
      </c>
      <c r="K54" s="6">
        <v>-1.3042093199999998</v>
      </c>
      <c r="L54" s="6">
        <v>-3.4149031699999997</v>
      </c>
      <c r="M54" s="119">
        <v>-5.8840355899999999</v>
      </c>
      <c r="N54" s="6">
        <v>-1.2708647600000003</v>
      </c>
      <c r="O54" s="6">
        <v>-0.42224397999999996</v>
      </c>
      <c r="P54" s="6">
        <v>-1.1407235099999999</v>
      </c>
      <c r="Q54" s="6">
        <v>-1.1108688000000002</v>
      </c>
      <c r="R54" s="119">
        <v>-3.9447010500000004</v>
      </c>
      <c r="S54" s="6">
        <v>-0.59570768000000007</v>
      </c>
      <c r="T54" s="6">
        <v>-0.89065598000000001</v>
      </c>
      <c r="U54" s="6">
        <v>-1.56268125</v>
      </c>
      <c r="V54" s="6">
        <v>-1.2202020600000043</v>
      </c>
      <c r="W54" s="119">
        <v>-4.2692469700000046</v>
      </c>
      <c r="X54" s="6">
        <v>-1.7150000000000001</v>
      </c>
      <c r="Y54" s="6">
        <v>-1.6635084774461919</v>
      </c>
      <c r="Z54" s="6">
        <v>-2.8471841661041601</v>
      </c>
      <c r="AA54" s="6">
        <v>-2.5821429633678008</v>
      </c>
      <c r="AB54" s="119">
        <v>-8.7880000000000003</v>
      </c>
      <c r="AC54" s="6">
        <v>-1.417</v>
      </c>
      <c r="AD54" s="6">
        <v>-0.99316966021137376</v>
      </c>
      <c r="AE54" s="6">
        <v>-1.54374927223682</v>
      </c>
      <c r="AF54" s="6">
        <v>-1.1550810675518066</v>
      </c>
      <c r="AG54" s="119">
        <v>-5.1109999999999998</v>
      </c>
      <c r="AH54" s="6">
        <v>-1.5820000000000001</v>
      </c>
      <c r="AI54" s="6">
        <v>-0.69399999999999995</v>
      </c>
      <c r="AJ54" s="6">
        <v>-0.52200000000000002</v>
      </c>
      <c r="AK54" s="6">
        <v>-0.54500000000000004</v>
      </c>
      <c r="AL54" s="119">
        <v>-3.343</v>
      </c>
      <c r="AM54" s="6">
        <v>-0.6705174765188685</v>
      </c>
      <c r="AN54" s="6">
        <v>-0.43126382310278977</v>
      </c>
      <c r="AO54" s="6">
        <v>-0.52461987149760247</v>
      </c>
      <c r="AP54" s="6">
        <v>-1.0720000000000001</v>
      </c>
      <c r="AQ54" s="119">
        <v>-2.698</v>
      </c>
      <c r="AR54" s="6">
        <v>-0.55700000000000005</v>
      </c>
      <c r="AS54" s="6">
        <v>-0.44999999999999984</v>
      </c>
      <c r="AT54" s="6">
        <v>-1.0483558779338802</v>
      </c>
      <c r="AU54" s="6">
        <v>-4.3046441220661196</v>
      </c>
      <c r="AV54" s="119">
        <v>-6.36</v>
      </c>
      <c r="AW54" s="6">
        <v>-0.41</v>
      </c>
      <c r="AX54" s="6">
        <v>-2.5750000000000002</v>
      </c>
      <c r="AY54" s="6">
        <v>-0.97398834000000001</v>
      </c>
      <c r="AZ54" s="6">
        <v>-3.8360116599999996</v>
      </c>
      <c r="BA54" s="119">
        <v>-7.7949999999999999</v>
      </c>
      <c r="BB54" s="6">
        <v>-1.9510000000000001</v>
      </c>
      <c r="BC54" s="6">
        <v>-2.9119999999999999</v>
      </c>
      <c r="BD54" s="6">
        <v>-2.8979865799999995</v>
      </c>
      <c r="BE54" s="6">
        <v>-1.3091655200000001</v>
      </c>
      <c r="BF54" s="207">
        <v>-9.1051520999999997</v>
      </c>
      <c r="BG54" s="6">
        <v>-1.0586130799999993</v>
      </c>
      <c r="BH54" s="6">
        <v>-0.98835523999999919</v>
      </c>
      <c r="BJ54" s="216"/>
    </row>
    <row r="55" spans="1:62" x14ac:dyDescent="0.4">
      <c r="A55" s="9" t="s">
        <v>137</v>
      </c>
      <c r="B55" s="9" t="s">
        <v>239</v>
      </c>
      <c r="C55" s="9"/>
      <c r="D55" s="6"/>
      <c r="E55" s="6"/>
      <c r="F55" s="6"/>
      <c r="G55" s="6"/>
      <c r="H55" s="7"/>
      <c r="I55" s="6"/>
      <c r="J55" s="6"/>
      <c r="K55" s="6"/>
      <c r="L55" s="6"/>
      <c r="M55" s="7"/>
      <c r="N55" s="6"/>
      <c r="O55" s="6"/>
      <c r="P55" s="6"/>
      <c r="Q55" s="6"/>
      <c r="R55" s="7"/>
      <c r="S55" s="6">
        <v>-0.24824602999999998</v>
      </c>
      <c r="T55" s="6">
        <v>-0.34329539000000003</v>
      </c>
      <c r="U55" s="6">
        <v>-0.8549670800000001</v>
      </c>
      <c r="V55" s="6">
        <v>-1.3873264399999998</v>
      </c>
      <c r="W55" s="7">
        <v>-2.83383494</v>
      </c>
      <c r="X55" s="6">
        <v>-1.5336483405374459</v>
      </c>
      <c r="Y55" s="6">
        <v>-2.1019309855473391</v>
      </c>
      <c r="Z55" s="6">
        <v>-2.4220181936314171</v>
      </c>
      <c r="AA55" s="6">
        <v>-2.100131599943746</v>
      </c>
      <c r="AB55" s="7">
        <v>-8.17</v>
      </c>
      <c r="AC55" s="6">
        <v>-1.93</v>
      </c>
      <c r="AD55" s="6">
        <v>-0.273107006735541</v>
      </c>
      <c r="AE55" s="6">
        <v>-0.66062605890682136</v>
      </c>
      <c r="AF55" s="6">
        <v>-0.54145720352128524</v>
      </c>
      <c r="AG55" s="7">
        <v>-3.4051902691636475</v>
      </c>
      <c r="AH55" s="6">
        <v>-0.875</v>
      </c>
      <c r="AI55" s="6">
        <v>-0.375</v>
      </c>
      <c r="AJ55" s="6">
        <v>-1.1000000000000001</v>
      </c>
      <c r="AK55" s="6">
        <v>-0.57316448026133471</v>
      </c>
      <c r="AL55" s="7">
        <v>-2.9231644802613346</v>
      </c>
      <c r="AM55" s="6">
        <v>-0.36621786614880242</v>
      </c>
      <c r="AN55" s="6">
        <v>-0.29084134223840796</v>
      </c>
      <c r="AO55" s="6">
        <v>-0.4201413508281488</v>
      </c>
      <c r="AP55" s="6">
        <v>-1.2</v>
      </c>
      <c r="AQ55" s="7">
        <v>-2.2770000000000001</v>
      </c>
      <c r="AR55" s="6">
        <v>-0.19400000000000001</v>
      </c>
      <c r="AS55" s="6">
        <v>-8.500000000000002E-2</v>
      </c>
      <c r="AT55" s="6">
        <v>-0.49145012999999999</v>
      </c>
      <c r="AU55" s="6">
        <v>-2.2315498699999998</v>
      </c>
      <c r="AV55" s="7">
        <v>-3.0019999999999998</v>
      </c>
      <c r="AW55" s="6">
        <v>-0.34699999999999998</v>
      </c>
      <c r="AX55" s="6">
        <v>-0.51900000000000002</v>
      </c>
      <c r="AY55" s="6">
        <v>-0.11853234999999999</v>
      </c>
      <c r="AZ55" s="6">
        <v>-0.32500000000000001</v>
      </c>
      <c r="BA55" s="7">
        <v>-1.30953235</v>
      </c>
      <c r="BB55" s="6">
        <v>-0.38800000000000001</v>
      </c>
      <c r="BC55" s="6">
        <v>-0.73399999999999999</v>
      </c>
      <c r="BD55" s="6">
        <v>-0.67168682999999996</v>
      </c>
      <c r="BE55" s="6">
        <v>0.72394310000000006</v>
      </c>
      <c r="BF55" s="158">
        <v>-1.0707437300000002</v>
      </c>
      <c r="BG55" s="6">
        <v>-0.23420901999999996</v>
      </c>
      <c r="BH55" s="6">
        <v>-0.47761225000000007</v>
      </c>
      <c r="BJ55" s="216"/>
    </row>
    <row r="56" spans="1:62" x14ac:dyDescent="0.4">
      <c r="A56" s="9" t="s">
        <v>139</v>
      </c>
      <c r="B56" s="9" t="s">
        <v>240</v>
      </c>
      <c r="C56" s="2"/>
      <c r="D56" s="6"/>
      <c r="E56" s="6">
        <v>0</v>
      </c>
      <c r="F56" s="6">
        <v>0</v>
      </c>
      <c r="G56" s="6">
        <v>0</v>
      </c>
      <c r="H56" s="7">
        <v>0</v>
      </c>
      <c r="I56" s="6">
        <v>0</v>
      </c>
      <c r="J56" s="6">
        <v>0</v>
      </c>
      <c r="K56" s="6">
        <v>0</v>
      </c>
      <c r="L56" s="6">
        <v>-22.506</v>
      </c>
      <c r="M56" s="7">
        <v>-22.506</v>
      </c>
      <c r="N56" s="6">
        <v>-0.10035212999999997</v>
      </c>
      <c r="O56" s="6">
        <v>-0.39319248000000018</v>
      </c>
      <c r="P56" s="6">
        <v>-29.980840029999996</v>
      </c>
      <c r="Q56" s="6">
        <v>-9.6341312000000006</v>
      </c>
      <c r="R56" s="7">
        <v>-40.108298950000005</v>
      </c>
      <c r="S56" s="6">
        <v>-9.3370462900000017</v>
      </c>
      <c r="T56" s="6">
        <v>-49.210048629999996</v>
      </c>
      <c r="U56" s="6">
        <v>-30.565101669999997</v>
      </c>
      <c r="V56" s="6">
        <v>-139.19999999999999</v>
      </c>
      <c r="W56" s="7">
        <v>-228.3</v>
      </c>
      <c r="X56" s="6">
        <v>-61.167806320791854</v>
      </c>
      <c r="Y56" s="6">
        <f>-36.4135605370065-0.023+14.4</f>
        <v>-22.036560537006501</v>
      </c>
      <c r="Z56" s="6">
        <v>-11.97904320323155</v>
      </c>
      <c r="AA56" s="6">
        <v>-18.1014421735848</v>
      </c>
      <c r="AB56" s="7">
        <f>SUM(X56:AA56)</f>
        <v>-113.28485223461472</v>
      </c>
      <c r="AC56" s="6">
        <f>-32.204+26.9</f>
        <v>-5.304000000000002</v>
      </c>
      <c r="AD56" s="6">
        <v>-3.2339812271300827</v>
      </c>
      <c r="AE56" s="6">
        <v>-11.302956181178953</v>
      </c>
      <c r="AF56" s="6">
        <v>-12.457786145615259</v>
      </c>
      <c r="AG56" s="7">
        <f>SUM(AC56:AF56)</f>
        <v>-32.298723553924297</v>
      </c>
      <c r="AH56" s="6">
        <v>-4.0830000000000002</v>
      </c>
      <c r="AI56" s="6">
        <v>-2.544</v>
      </c>
      <c r="AJ56" s="6">
        <v>-2.2999999999999998</v>
      </c>
      <c r="AK56" s="6">
        <v>-3.3297381585574892</v>
      </c>
      <c r="AL56" s="7">
        <v>-12.256738158557489</v>
      </c>
      <c r="AM56" s="6">
        <v>-1.1538746573323293</v>
      </c>
      <c r="AN56" s="6">
        <v>-1.895894834658802</v>
      </c>
      <c r="AO56" s="6">
        <v>-0.68923877767424868</v>
      </c>
      <c r="AP56" s="6">
        <v>-1.7</v>
      </c>
      <c r="AQ56" s="7">
        <v>-5.4390000000000001</v>
      </c>
      <c r="AR56" s="6">
        <v>-0.60499999999999998</v>
      </c>
      <c r="AS56" s="6">
        <v>-1.02</v>
      </c>
      <c r="AT56" s="6">
        <v>-1.5013361600000001</v>
      </c>
      <c r="AU56" s="6">
        <v>-1.7336638400000006</v>
      </c>
      <c r="AV56" s="7">
        <v>-4.8600000000000003</v>
      </c>
      <c r="AW56" s="6">
        <v>-1.9139999999999999</v>
      </c>
      <c r="AX56" s="6">
        <v>-3.1789999999999998</v>
      </c>
      <c r="AY56" s="6">
        <v>-2.0274793099999999</v>
      </c>
      <c r="AZ56" s="6">
        <v>-4.0629999999999988</v>
      </c>
      <c r="BA56" s="7">
        <v>-11.183479309999999</v>
      </c>
      <c r="BB56" s="6">
        <v>-2.1059999999999999</v>
      </c>
      <c r="BC56" s="6">
        <v>-3.6419999999999999</v>
      </c>
      <c r="BD56" s="6">
        <v>-6.1783265900000002</v>
      </c>
      <c r="BE56" s="6">
        <v>-4.3417775799999996</v>
      </c>
      <c r="BF56" s="158">
        <v>-16.303104170000001</v>
      </c>
      <c r="BG56" s="6">
        <v>-5.3991778999999998</v>
      </c>
      <c r="BH56" s="6">
        <v>-6.55703251</v>
      </c>
      <c r="BJ56" s="216"/>
    </row>
    <row r="57" spans="1:62" x14ac:dyDescent="0.4">
      <c r="A57" s="9" t="s">
        <v>141</v>
      </c>
      <c r="B57" s="9" t="s">
        <v>241</v>
      </c>
      <c r="C57" s="103"/>
      <c r="D57" s="6"/>
      <c r="E57" s="6">
        <v>0</v>
      </c>
      <c r="F57" s="6">
        <v>0</v>
      </c>
      <c r="G57" s="6">
        <v>0</v>
      </c>
      <c r="H57" s="7">
        <v>0</v>
      </c>
      <c r="I57" s="6">
        <v>-2.5000000000000001E-2</v>
      </c>
      <c r="J57" s="6">
        <v>0.154</v>
      </c>
      <c r="K57" s="6">
        <v>0</v>
      </c>
      <c r="L57" s="6">
        <v>-4.4217250800000016</v>
      </c>
      <c r="M57" s="7">
        <v>-4.2927250800000003</v>
      </c>
      <c r="N57" s="6">
        <v>4.4999999999999998E-2</v>
      </c>
      <c r="O57" s="6">
        <v>1.0470000000000002</v>
      </c>
      <c r="P57" s="6">
        <v>1.5880000000000001</v>
      </c>
      <c r="Q57" s="6">
        <v>1.9809999999999994</v>
      </c>
      <c r="R57" s="7">
        <v>4.6609999999999996</v>
      </c>
      <c r="S57" s="6">
        <v>1.131</v>
      </c>
      <c r="T57" s="6">
        <v>0.42900000000000005</v>
      </c>
      <c r="U57" s="6">
        <v>0.2609999999999999</v>
      </c>
      <c r="V57" s="6">
        <v>-4.0000000000210978E-3</v>
      </c>
      <c r="W57" s="7">
        <v>1.8169999999999789</v>
      </c>
      <c r="X57" s="6">
        <v>-2.1999999999999999E-2</v>
      </c>
      <c r="Y57" s="6">
        <v>-2.1999999999999999E-2</v>
      </c>
      <c r="Z57" s="6">
        <v>-3.6999999999999998E-2</v>
      </c>
      <c r="AA57" s="6">
        <v>-6.3609999999999998</v>
      </c>
      <c r="AB57" s="7">
        <v>-6.423</v>
      </c>
      <c r="AC57" s="6">
        <v>8.0000000000000002E-3</v>
      </c>
      <c r="AD57" s="6">
        <v>-1E-3</v>
      </c>
      <c r="AE57" s="6">
        <v>3.0000000000000001E-3</v>
      </c>
      <c r="AF57" s="6">
        <v>-2E-3</v>
      </c>
      <c r="AG57" s="7">
        <v>0</v>
      </c>
      <c r="AH57" s="6">
        <v>0</v>
      </c>
      <c r="AI57" s="6">
        <v>-9.8000000000000004E-2</v>
      </c>
      <c r="AJ57" s="6">
        <v>0</v>
      </c>
      <c r="AK57" s="6">
        <v>0.1</v>
      </c>
      <c r="AL57" s="7">
        <v>2.0000000000000018E-3</v>
      </c>
      <c r="AM57" s="6">
        <v>-3.0000000000000001E-3</v>
      </c>
      <c r="AN57" s="6">
        <v>3.0000000000000001E-3</v>
      </c>
      <c r="AO57" s="6">
        <v>0</v>
      </c>
      <c r="AP57" s="6">
        <v>0</v>
      </c>
      <c r="AQ57" s="7">
        <v>0</v>
      </c>
      <c r="AR57" s="6">
        <v>0</v>
      </c>
      <c r="AS57" s="6">
        <v>0.4</v>
      </c>
      <c r="AT57" s="6">
        <v>0</v>
      </c>
      <c r="AU57" s="6">
        <v>5.2999999999999992E-2</v>
      </c>
      <c r="AV57" s="7">
        <v>0.45300000000000001</v>
      </c>
      <c r="AW57" s="6">
        <v>0.70499999999999996</v>
      </c>
      <c r="AX57" s="6">
        <v>-1.4449999999999998</v>
      </c>
      <c r="AY57" s="6">
        <v>-4.8000000000000001E-2</v>
      </c>
      <c r="AZ57" s="6">
        <v>-18.288</v>
      </c>
      <c r="BA57" s="7">
        <v>-19.076000000000001</v>
      </c>
      <c r="BB57" s="6">
        <v>-1.8080000000000001</v>
      </c>
      <c r="BC57" s="6">
        <v>-0.34599999999999986</v>
      </c>
      <c r="BD57" s="6">
        <v>-0.53300000000000025</v>
      </c>
      <c r="BE57" s="6">
        <v>0.60499999999999998</v>
      </c>
      <c r="BF57" s="158">
        <v>-2.0819999999999999</v>
      </c>
      <c r="BG57" s="6">
        <v>-8.3000000000000004E-2</v>
      </c>
      <c r="BH57" s="6">
        <v>0.498</v>
      </c>
      <c r="BJ57" s="216"/>
    </row>
    <row r="58" spans="1:62" x14ac:dyDescent="0.4">
      <c r="A58" s="58" t="s">
        <v>143</v>
      </c>
      <c r="B58" s="58" t="s">
        <v>144</v>
      </c>
      <c r="C58" s="5"/>
      <c r="D58" s="59">
        <v>-1.5489999999999999</v>
      </c>
      <c r="E58" s="59">
        <v>-0.40664100000000003</v>
      </c>
      <c r="F58" s="59">
        <v>-0.69010600000000011</v>
      </c>
      <c r="G58" s="59">
        <v>-1.1199999999999999</v>
      </c>
      <c r="H58" s="111">
        <v>-5.2657470000000002</v>
      </c>
      <c r="I58" s="59">
        <v>-0.57500000000000007</v>
      </c>
      <c r="J58" s="59">
        <v>-0.39600000000000002</v>
      </c>
      <c r="K58" s="59">
        <v>-1.3042093199999998</v>
      </c>
      <c r="L58" s="59">
        <v>-30.342628250000001</v>
      </c>
      <c r="M58" s="111">
        <v>-32.68276067</v>
      </c>
      <c r="N58" s="59">
        <v>-1.3262168900000002</v>
      </c>
      <c r="O58" s="59">
        <v>0.23156354000000001</v>
      </c>
      <c r="P58" s="59">
        <v>-29.533563539999996</v>
      </c>
      <c r="Q58" s="59">
        <v>-8.7640000000000011</v>
      </c>
      <c r="R58" s="111">
        <v>-39.392000000000003</v>
      </c>
      <c r="S58" s="59">
        <v>-9.0499999999999989</v>
      </c>
      <c r="T58" s="59">
        <v>-50.016999999999996</v>
      </c>
      <c r="U58" s="59">
        <v>-32.721749999999993</v>
      </c>
      <c r="V58" s="59">
        <v>-141.80000000000001</v>
      </c>
      <c r="W58" s="111">
        <v>-233.6</v>
      </c>
      <c r="X58" s="59">
        <v>-64.417000000000002</v>
      </c>
      <c r="Y58" s="120">
        <f>SUM(Y54:Y57)</f>
        <v>-25.82400000000003</v>
      </c>
      <c r="Z58" s="59">
        <v>-17.285245562967127</v>
      </c>
      <c r="AA58" s="59">
        <v>-29.144716736896349</v>
      </c>
      <c r="AB58" s="111">
        <f>SUM(AB54:AB57)</f>
        <v>-136.6658522346147</v>
      </c>
      <c r="AC58" s="59">
        <f>SUM(AC54:AC57)</f>
        <v>-8.6430000000000025</v>
      </c>
      <c r="AD58" s="59">
        <v>-4.5012578940769972</v>
      </c>
      <c r="AE58" s="59">
        <v>-13.504331512322594</v>
      </c>
      <c r="AF58" s="59">
        <v>-14.156324416688351</v>
      </c>
      <c r="AG58" s="111">
        <f>SUM(AC58:AF58)</f>
        <v>-40.804913823087944</v>
      </c>
      <c r="AH58" s="59">
        <v>-6.5399999999999991</v>
      </c>
      <c r="AI58" s="59">
        <v>-3.7109999999999999</v>
      </c>
      <c r="AJ58" s="59">
        <v>-3.9219999999999997</v>
      </c>
      <c r="AK58" s="59">
        <v>-4.3479026388188249</v>
      </c>
      <c r="AL58" s="111">
        <f>SUM(AL54:AL57)</f>
        <v>-18.520902638818825</v>
      </c>
      <c r="AM58" s="59">
        <v>-2.1936100000000005</v>
      </c>
      <c r="AN58" s="59">
        <v>-2.6149999999999993</v>
      </c>
      <c r="AO58" s="59">
        <v>-1.6339999999999999</v>
      </c>
      <c r="AP58" s="59">
        <v>-3.9720000000000004</v>
      </c>
      <c r="AQ58" s="111">
        <v>-10.414</v>
      </c>
      <c r="AR58" s="59">
        <v>-1.3560000000000001</v>
      </c>
      <c r="AS58" s="59">
        <v>-1.1549999999999998</v>
      </c>
      <c r="AT58" s="59">
        <v>-3.0411421679338804</v>
      </c>
      <c r="AU58" s="59">
        <v>-8.2168578320661183</v>
      </c>
      <c r="AV58" s="111">
        <v>-13.769000000000002</v>
      </c>
      <c r="AW58" s="59">
        <v>-1.966</v>
      </c>
      <c r="AX58" s="59">
        <v>-7.718</v>
      </c>
      <c r="AY58" s="59">
        <v>-3.12</v>
      </c>
      <c r="AZ58" s="59">
        <v>-26.512011659999999</v>
      </c>
      <c r="BA58" s="111">
        <v>-39.364011660000003</v>
      </c>
      <c r="BB58" s="59">
        <v>-6.2530000000000001</v>
      </c>
      <c r="BC58" s="59">
        <v>-7.6340000000000039</v>
      </c>
      <c r="BD58" s="59">
        <v>-10.352</v>
      </c>
      <c r="BE58" s="59">
        <v>-4.3219999999999992</v>
      </c>
      <c r="BF58" s="167">
        <v>-28.561</v>
      </c>
      <c r="BG58" s="59">
        <v>-6.7749999999999995</v>
      </c>
      <c r="BH58" s="59">
        <v>-7.5249999999999995</v>
      </c>
      <c r="BJ58" s="216"/>
    </row>
    <row r="59" spans="1:62" x14ac:dyDescent="0.4">
      <c r="A59" s="121" t="s">
        <v>145</v>
      </c>
      <c r="B59" s="121" t="s">
        <v>146</v>
      </c>
      <c r="C59" s="122"/>
      <c r="D59" s="70"/>
      <c r="E59" s="70">
        <v>0</v>
      </c>
      <c r="F59" s="70">
        <v>0</v>
      </c>
      <c r="G59" s="70">
        <v>0</v>
      </c>
      <c r="H59" s="123">
        <v>0</v>
      </c>
      <c r="I59" s="70">
        <v>0</v>
      </c>
      <c r="J59" s="70">
        <v>0</v>
      </c>
      <c r="K59" s="70">
        <v>0</v>
      </c>
      <c r="L59" s="70">
        <v>0</v>
      </c>
      <c r="M59" s="123">
        <v>0</v>
      </c>
      <c r="N59" s="70">
        <v>0</v>
      </c>
      <c r="O59" s="70">
        <v>0</v>
      </c>
      <c r="P59" s="70">
        <v>0</v>
      </c>
      <c r="Q59" s="70">
        <v>3.52</v>
      </c>
      <c r="R59" s="123">
        <v>3.52</v>
      </c>
      <c r="S59" s="70">
        <v>0</v>
      </c>
      <c r="T59" s="70">
        <v>0</v>
      </c>
      <c r="U59" s="70">
        <v>4.5999999999999999E-2</v>
      </c>
      <c r="V59" s="70">
        <v>1.1000000000000003E-2</v>
      </c>
      <c r="W59" s="123">
        <v>5.7000000000000002E-2</v>
      </c>
      <c r="X59" s="70">
        <v>0</v>
      </c>
      <c r="Y59" s="70">
        <v>2.3E-2</v>
      </c>
      <c r="Z59" s="70">
        <v>0</v>
      </c>
      <c r="AA59" s="70">
        <v>0.11000000000000001</v>
      </c>
      <c r="AB59" s="123">
        <v>0.13300000000000001</v>
      </c>
      <c r="AC59" s="70">
        <v>0</v>
      </c>
      <c r="AD59" s="70">
        <v>0</v>
      </c>
      <c r="AE59" s="70">
        <v>0</v>
      </c>
      <c r="AF59" s="70">
        <f>58.3</f>
        <v>58.3</v>
      </c>
      <c r="AG59" s="123">
        <f>SUM(AC59:AF59)</f>
        <v>58.3</v>
      </c>
      <c r="AH59" s="70">
        <v>0</v>
      </c>
      <c r="AI59" s="70">
        <v>0</v>
      </c>
      <c r="AJ59" s="70">
        <v>0</v>
      </c>
      <c r="AK59" s="53">
        <v>5.5490000000000004</v>
      </c>
      <c r="AL59" s="124">
        <v>5.5490000000000004</v>
      </c>
      <c r="AM59" s="70">
        <v>0.38</v>
      </c>
      <c r="AN59" s="70">
        <v>0</v>
      </c>
      <c r="AO59" s="70">
        <v>0</v>
      </c>
      <c r="AP59" s="70">
        <v>0</v>
      </c>
      <c r="AQ59" s="124">
        <v>0.38</v>
      </c>
      <c r="AR59" s="70">
        <v>0</v>
      </c>
      <c r="AS59" s="70">
        <v>0</v>
      </c>
      <c r="AT59" s="70">
        <v>0</v>
      </c>
      <c r="AU59" s="70">
        <v>0</v>
      </c>
      <c r="AV59" s="124">
        <v>0</v>
      </c>
      <c r="AW59" s="70">
        <v>0</v>
      </c>
      <c r="AX59" s="70">
        <v>0.89700000000000002</v>
      </c>
      <c r="AY59" s="70">
        <v>-0.379</v>
      </c>
      <c r="AZ59" s="70">
        <v>0.50099999999999989</v>
      </c>
      <c r="BA59" s="124">
        <v>1.0189999999999999</v>
      </c>
      <c r="BB59" s="70">
        <v>7.0999999999999994E-2</v>
      </c>
      <c r="BC59" s="70">
        <v>7.8E-2</v>
      </c>
      <c r="BD59" s="70">
        <v>6.2E-2</v>
      </c>
      <c r="BE59" s="70">
        <v>8.2000000000000003E-2</v>
      </c>
      <c r="BF59" s="170">
        <v>0.29299999999999998</v>
      </c>
      <c r="BG59" s="70">
        <v>4.7E-2</v>
      </c>
      <c r="BH59" s="70">
        <v>4.5999999999999999E-2</v>
      </c>
      <c r="BJ59" s="216"/>
    </row>
    <row r="60" spans="1:62" x14ac:dyDescent="0.4">
      <c r="A60" s="47" t="s">
        <v>147</v>
      </c>
      <c r="B60" s="47" t="s">
        <v>242</v>
      </c>
      <c r="C60" s="21"/>
      <c r="D60" s="48">
        <v>-1.5489999999999999</v>
      </c>
      <c r="E60" s="48">
        <v>-0.40664100000000003</v>
      </c>
      <c r="F60" s="48">
        <v>-0.69010600000000011</v>
      </c>
      <c r="G60" s="48">
        <v>-1.1199999999999999</v>
      </c>
      <c r="H60" s="49">
        <v>-5.2657470000000002</v>
      </c>
      <c r="I60" s="48">
        <v>-0.57500000000000007</v>
      </c>
      <c r="J60" s="48">
        <v>-0.39600000000000002</v>
      </c>
      <c r="K60" s="48">
        <v>-1.3042093199999998</v>
      </c>
      <c r="L60" s="48">
        <v>-30.342628250000001</v>
      </c>
      <c r="M60" s="49">
        <v>-32.68276067</v>
      </c>
      <c r="N60" s="48">
        <v>-1.3262168900000002</v>
      </c>
      <c r="O60" s="48">
        <v>0.23156354000000001</v>
      </c>
      <c r="P60" s="48">
        <v>-29.533563539999999</v>
      </c>
      <c r="Q60" s="48">
        <v>-5.2440000000000015</v>
      </c>
      <c r="R60" s="49">
        <v>-35.872</v>
      </c>
      <c r="S60" s="48">
        <v>-9.0499999999999989</v>
      </c>
      <c r="T60" s="48">
        <v>-50.016999999999996</v>
      </c>
      <c r="U60" s="48">
        <v>-32.675749999999994</v>
      </c>
      <c r="V60" s="48">
        <v>-141.80000000000001</v>
      </c>
      <c r="W60" s="49">
        <v>-233.5</v>
      </c>
      <c r="X60" s="48">
        <v>-64.417000000000002</v>
      </c>
      <c r="Y60" s="48">
        <f>Y58+Y59</f>
        <v>-25.80100000000003</v>
      </c>
      <c r="Z60" s="48">
        <v>-17.285245562967127</v>
      </c>
      <c r="AA60" s="48">
        <v>-29.03471673689635</v>
      </c>
      <c r="AB60" s="49">
        <f>SUM(X60:AA60)</f>
        <v>-136.53796229986349</v>
      </c>
      <c r="AC60" s="48">
        <f>AC58+AC59</f>
        <v>-8.6430000000000025</v>
      </c>
      <c r="AD60" s="48">
        <v>-4.5012578940769972</v>
      </c>
      <c r="AE60" s="48">
        <v>-13.504331512322594</v>
      </c>
      <c r="AF60" s="48">
        <f>AF58+AF59</f>
        <v>44.143675583311648</v>
      </c>
      <c r="AG60" s="49">
        <f>AG58+AG59</f>
        <v>17.495086176912054</v>
      </c>
      <c r="AH60" s="48">
        <v>-6.5399999999999991</v>
      </c>
      <c r="AI60" s="48">
        <v>-3.7109999999999999</v>
      </c>
      <c r="AJ60" s="48">
        <v>-3.9219999999999997</v>
      </c>
      <c r="AK60" s="48">
        <v>1.2010973611811755</v>
      </c>
      <c r="AL60" s="49">
        <v>-12.971902638818825</v>
      </c>
      <c r="AM60" s="48">
        <v>-1.8136100000000006</v>
      </c>
      <c r="AN60" s="48">
        <v>-2.6149999999999993</v>
      </c>
      <c r="AO60" s="48">
        <v>-1.6339999999999999</v>
      </c>
      <c r="AP60" s="48">
        <v>-3.9720000000000004</v>
      </c>
      <c r="AQ60" s="49">
        <v>-10.033999999999999</v>
      </c>
      <c r="AR60" s="48">
        <v>-1.3560000000000001</v>
      </c>
      <c r="AS60" s="48">
        <v>-1.1549999999999998</v>
      </c>
      <c r="AT60" s="48">
        <v>-3.0411421679338804</v>
      </c>
      <c r="AU60" s="48">
        <v>-8.2168578320661183</v>
      </c>
      <c r="AV60" s="49">
        <v>-13.769000000000002</v>
      </c>
      <c r="AW60" s="48">
        <v>-1.966</v>
      </c>
      <c r="AX60" s="48">
        <v>-6.8209999999999997</v>
      </c>
      <c r="AY60" s="48">
        <v>-3.4990000000000001</v>
      </c>
      <c r="AZ60" s="48">
        <v>-26.011011659999998</v>
      </c>
      <c r="BA60" s="49">
        <v>-38.345011660000004</v>
      </c>
      <c r="BB60" s="48">
        <v>-6.1820000000000004</v>
      </c>
      <c r="BC60" s="48">
        <v>-7.5560000000000036</v>
      </c>
      <c r="BD60" s="48">
        <v>-10.290000000000001</v>
      </c>
      <c r="BE60" s="48">
        <v>-4.2399999999999993</v>
      </c>
      <c r="BF60" s="163">
        <v>-28.268000000000001</v>
      </c>
      <c r="BG60" s="48">
        <v>-6.7279999999999998</v>
      </c>
      <c r="BH60" s="48">
        <v>-7.4789999999999992</v>
      </c>
      <c r="BJ60" s="216"/>
    </row>
    <row r="61" spans="1:62" ht="16.5" thickBot="1" x14ac:dyDescent="0.45">
      <c r="A61" s="21"/>
      <c r="B61" s="2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F61" s="51"/>
      <c r="BJ61" s="216"/>
    </row>
    <row r="62" spans="1:62" ht="16.5" thickBot="1" x14ac:dyDescent="0.45">
      <c r="A62" s="1" t="s">
        <v>149</v>
      </c>
      <c r="B62" s="92" t="s">
        <v>150</v>
      </c>
      <c r="C62" s="9"/>
      <c r="D62" s="48">
        <f>D44+D60</f>
        <v>12.457343439445342</v>
      </c>
      <c r="E62" s="48">
        <f>E44+E60</f>
        <v>4.8951083637061146</v>
      </c>
      <c r="F62" s="48">
        <f>F44+F60</f>
        <v>11.653067556114157</v>
      </c>
      <c r="G62" s="48">
        <f>G44+G60</f>
        <v>-8.250025027754738</v>
      </c>
      <c r="H62" s="125">
        <f t="shared" ref="H62:AT62" si="15">H44+H60</f>
        <v>19.255494331510878</v>
      </c>
      <c r="I62" s="48">
        <f t="shared" si="15"/>
        <v>1.6181756422258755</v>
      </c>
      <c r="J62" s="48">
        <f t="shared" si="15"/>
        <v>-1.7527409307492756</v>
      </c>
      <c r="K62" s="48">
        <f t="shared" si="15"/>
        <v>23.197266467223518</v>
      </c>
      <c r="L62" s="48">
        <f t="shared" si="15"/>
        <v>-8.2803399627170187</v>
      </c>
      <c r="M62" s="125">
        <f t="shared" si="15"/>
        <v>14.678340077063844</v>
      </c>
      <c r="N62" s="48">
        <f t="shared" si="15"/>
        <v>8.3831925389256234</v>
      </c>
      <c r="O62" s="48">
        <f t="shared" si="15"/>
        <v>0.18309339456442753</v>
      </c>
      <c r="P62" s="48">
        <f t="shared" si="15"/>
        <v>-22.866840206501617</v>
      </c>
      <c r="Q62" s="48">
        <f t="shared" si="15"/>
        <v>1.3460439153042572</v>
      </c>
      <c r="R62" s="125">
        <f t="shared" si="15"/>
        <v>-12.954293467707302</v>
      </c>
      <c r="S62" s="48">
        <f t="shared" si="15"/>
        <v>-0.38212805713286357</v>
      </c>
      <c r="T62" s="48">
        <f t="shared" si="15"/>
        <v>-43.918332083554461</v>
      </c>
      <c r="U62" s="48">
        <f t="shared" si="15"/>
        <v>-20.163423216893484</v>
      </c>
      <c r="V62" s="48">
        <f t="shared" si="15"/>
        <v>-123.05208351568874</v>
      </c>
      <c r="W62" s="49">
        <f t="shared" si="15"/>
        <v>-187.47321687326956</v>
      </c>
      <c r="X62" s="48">
        <f t="shared" si="15"/>
        <v>-53.025765769417767</v>
      </c>
      <c r="Y62" s="48">
        <f t="shared" si="15"/>
        <v>-9.9671111560868972</v>
      </c>
      <c r="Z62" s="48">
        <f t="shared" si="15"/>
        <v>-16.685181518686441</v>
      </c>
      <c r="AA62" s="48">
        <f t="shared" si="15"/>
        <v>4.1561573499906999</v>
      </c>
      <c r="AB62" s="49">
        <f t="shared" si="15"/>
        <v>-75.521901094200388</v>
      </c>
      <c r="AC62" s="48">
        <f t="shared" si="15"/>
        <v>-1.1775439193528214</v>
      </c>
      <c r="AD62" s="48">
        <f t="shared" si="15"/>
        <v>-4.1362705379915869</v>
      </c>
      <c r="AE62" s="48">
        <f t="shared" si="15"/>
        <v>7.5299175940054326</v>
      </c>
      <c r="AF62" s="48">
        <f t="shared" si="15"/>
        <v>53.737194105184635</v>
      </c>
      <c r="AG62" s="49">
        <f t="shared" si="15"/>
        <v>55.953297241845647</v>
      </c>
      <c r="AH62" s="48">
        <f t="shared" si="15"/>
        <v>-10.455517819999999</v>
      </c>
      <c r="AI62" s="48">
        <f t="shared" si="15"/>
        <v>13.168517820000003</v>
      </c>
      <c r="AJ62" s="48">
        <f t="shared" si="15"/>
        <v>-8.6839982356187075</v>
      </c>
      <c r="AK62" s="48">
        <f t="shared" si="15"/>
        <v>47.747272545974937</v>
      </c>
      <c r="AL62" s="49">
        <f t="shared" si="15"/>
        <v>41.777158700356225</v>
      </c>
      <c r="AM62" s="48">
        <f t="shared" si="15"/>
        <v>62.176650504793756</v>
      </c>
      <c r="AN62" s="48">
        <f t="shared" si="15"/>
        <v>46.928034864793752</v>
      </c>
      <c r="AO62" s="48">
        <f t="shared" si="15"/>
        <v>49.777945000000017</v>
      </c>
      <c r="AP62" s="48">
        <f t="shared" si="15"/>
        <v>-1.9096213912691162</v>
      </c>
      <c r="AQ62" s="49">
        <f t="shared" si="15"/>
        <v>156.98761897831841</v>
      </c>
      <c r="AR62" s="48">
        <f t="shared" si="15"/>
        <v>-45.831940220000014</v>
      </c>
      <c r="AS62" s="48">
        <f t="shared" si="15"/>
        <v>-32.967923208448639</v>
      </c>
      <c r="AT62" s="48">
        <f t="shared" si="15"/>
        <v>12.226857832066131</v>
      </c>
      <c r="AU62" s="48">
        <v>-4.2348574120661269</v>
      </c>
      <c r="AV62" s="49">
        <v>-70.753</v>
      </c>
      <c r="AW62" s="48">
        <f>AW44+AW60</f>
        <v>-21.843</v>
      </c>
      <c r="AX62" s="48">
        <f t="shared" ref="AX62:BD62" si="16">AX44+AX60</f>
        <v>6.7920000000000034</v>
      </c>
      <c r="AY62" s="48">
        <f t="shared" si="16"/>
        <v>-6.2910000000000004</v>
      </c>
      <c r="AZ62" s="48">
        <f t="shared" si="16"/>
        <v>-25.087011659999995</v>
      </c>
      <c r="BA62" s="49">
        <f t="shared" si="16"/>
        <v>-46.482011659999998</v>
      </c>
      <c r="BB62" s="48">
        <f t="shared" si="16"/>
        <v>-4.3529999999999998</v>
      </c>
      <c r="BC62" s="48">
        <f t="shared" si="16"/>
        <v>-8.3570772400000326</v>
      </c>
      <c r="BD62" s="48">
        <f t="shared" si="16"/>
        <v>-13.365000000000002</v>
      </c>
      <c r="BE62" s="48">
        <v>-7.26</v>
      </c>
      <c r="BF62" s="208">
        <v>-33.314000000000007</v>
      </c>
      <c r="BG62" s="48">
        <v>-10.326000000000001</v>
      </c>
      <c r="BH62" s="48">
        <v>-12.126999999999999</v>
      </c>
      <c r="BJ62" s="216"/>
    </row>
    <row r="63" spans="1:62" ht="16.5" thickBot="1" x14ac:dyDescent="0.45">
      <c r="A63" s="21"/>
      <c r="B63" s="2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F63" s="51"/>
      <c r="BJ63" s="216"/>
    </row>
    <row r="64" spans="1:62" ht="16.5" thickBot="1" x14ac:dyDescent="0.45">
      <c r="A64" s="1" t="s">
        <v>151</v>
      </c>
      <c r="B64" s="1" t="s">
        <v>152</v>
      </c>
      <c r="C64" s="2"/>
      <c r="D64" s="3" t="str">
        <f t="shared" ref="D64:AI64" si="17">D1</f>
        <v>1T15</v>
      </c>
      <c r="E64" s="3" t="str">
        <f t="shared" si="17"/>
        <v>2T15</v>
      </c>
      <c r="F64" s="3" t="str">
        <f t="shared" si="17"/>
        <v>3T15</v>
      </c>
      <c r="G64" s="3" t="str">
        <f t="shared" si="17"/>
        <v>4T15</v>
      </c>
      <c r="H64" s="4">
        <f t="shared" si="17"/>
        <v>2015</v>
      </c>
      <c r="I64" s="3" t="str">
        <f t="shared" si="17"/>
        <v>1T16</v>
      </c>
      <c r="J64" s="3" t="str">
        <f t="shared" si="17"/>
        <v>2T16</v>
      </c>
      <c r="K64" s="3" t="str">
        <f t="shared" si="17"/>
        <v>3T16</v>
      </c>
      <c r="L64" s="3" t="str">
        <f t="shared" si="17"/>
        <v>4T16</v>
      </c>
      <c r="M64" s="4">
        <f t="shared" si="17"/>
        <v>2016</v>
      </c>
      <c r="N64" s="3" t="str">
        <f t="shared" si="17"/>
        <v>1T17</v>
      </c>
      <c r="O64" s="3" t="str">
        <f t="shared" si="17"/>
        <v>2T17</v>
      </c>
      <c r="P64" s="3" t="str">
        <f t="shared" si="17"/>
        <v>3T17</v>
      </c>
      <c r="Q64" s="3" t="str">
        <f t="shared" si="17"/>
        <v>4T17</v>
      </c>
      <c r="R64" s="4">
        <f t="shared" si="17"/>
        <v>2017</v>
      </c>
      <c r="S64" s="3" t="str">
        <f t="shared" si="17"/>
        <v>1T18</v>
      </c>
      <c r="T64" s="3" t="str">
        <f t="shared" si="17"/>
        <v>2T18</v>
      </c>
      <c r="U64" s="3" t="str">
        <f t="shared" si="17"/>
        <v>3T18</v>
      </c>
      <c r="V64" s="3" t="str">
        <f t="shared" si="17"/>
        <v>4T18</v>
      </c>
      <c r="W64" s="4">
        <f t="shared" si="17"/>
        <v>2018</v>
      </c>
      <c r="X64" s="3" t="str">
        <f t="shared" si="17"/>
        <v>1T19</v>
      </c>
      <c r="Y64" s="3" t="str">
        <f t="shared" si="17"/>
        <v>2T19</v>
      </c>
      <c r="Z64" s="3" t="str">
        <f t="shared" si="17"/>
        <v>3T19</v>
      </c>
      <c r="AA64" s="3" t="str">
        <f t="shared" si="17"/>
        <v>4T19</v>
      </c>
      <c r="AB64" s="4">
        <f t="shared" si="17"/>
        <v>2019</v>
      </c>
      <c r="AC64" s="3" t="str">
        <f t="shared" si="17"/>
        <v>1T20</v>
      </c>
      <c r="AD64" s="3" t="str">
        <f t="shared" si="17"/>
        <v>2T20</v>
      </c>
      <c r="AE64" s="3" t="str">
        <f t="shared" si="17"/>
        <v>3T20</v>
      </c>
      <c r="AF64" s="3" t="str">
        <f t="shared" si="17"/>
        <v>4T20</v>
      </c>
      <c r="AG64" s="4">
        <f t="shared" si="17"/>
        <v>2020</v>
      </c>
      <c r="AH64" s="3" t="str">
        <f t="shared" si="17"/>
        <v>1T21</v>
      </c>
      <c r="AI64" s="3" t="str">
        <f t="shared" si="17"/>
        <v>2T21</v>
      </c>
      <c r="AJ64" s="3" t="str">
        <f t="shared" ref="AJ64:BB64" si="18">AJ1</f>
        <v>3T21</v>
      </c>
      <c r="AK64" s="3" t="str">
        <f t="shared" si="18"/>
        <v>4T21</v>
      </c>
      <c r="AL64" s="4">
        <f t="shared" si="18"/>
        <v>2021</v>
      </c>
      <c r="AM64" s="3" t="str">
        <f t="shared" si="18"/>
        <v>1T22</v>
      </c>
      <c r="AN64" s="3" t="str">
        <f t="shared" si="18"/>
        <v>2T22</v>
      </c>
      <c r="AO64" s="3" t="str">
        <f t="shared" si="18"/>
        <v>3T22</v>
      </c>
      <c r="AP64" s="3" t="str">
        <f t="shared" si="18"/>
        <v>4T22</v>
      </c>
      <c r="AQ64" s="4">
        <f t="shared" si="18"/>
        <v>2022</v>
      </c>
      <c r="AR64" s="3" t="str">
        <f t="shared" si="18"/>
        <v>1T23</v>
      </c>
      <c r="AS64" s="3" t="str">
        <f t="shared" si="18"/>
        <v>2T23</v>
      </c>
      <c r="AT64" s="3" t="str">
        <f t="shared" si="18"/>
        <v>3T23</v>
      </c>
      <c r="AU64" s="3" t="s">
        <v>37</v>
      </c>
      <c r="AV64" s="4">
        <v>2023</v>
      </c>
      <c r="AW64" s="3" t="str">
        <f t="shared" si="18"/>
        <v>1T24</v>
      </c>
      <c r="AX64" s="3" t="str">
        <f t="shared" si="18"/>
        <v>2T24</v>
      </c>
      <c r="AY64" s="3" t="str">
        <f t="shared" si="18"/>
        <v>3T24</v>
      </c>
      <c r="AZ64" s="3" t="str">
        <f t="shared" si="18"/>
        <v>4T24</v>
      </c>
      <c r="BA64" s="4">
        <f t="shared" si="18"/>
        <v>2024</v>
      </c>
      <c r="BB64" s="3" t="str">
        <f t="shared" si="18"/>
        <v>1T25</v>
      </c>
      <c r="BC64" s="3" t="s">
        <v>383</v>
      </c>
      <c r="BD64" s="3" t="s">
        <v>384</v>
      </c>
      <c r="BE64" s="3" t="s">
        <v>385</v>
      </c>
      <c r="BF64" s="4">
        <v>2025</v>
      </c>
      <c r="BG64" s="3" t="s">
        <v>386</v>
      </c>
      <c r="BH64" s="3" t="s">
        <v>387</v>
      </c>
      <c r="BJ64" s="216"/>
    </row>
    <row r="65" spans="1:62" x14ac:dyDescent="0.4">
      <c r="A65" s="9" t="s">
        <v>153</v>
      </c>
      <c r="B65" s="9" t="s">
        <v>154</v>
      </c>
      <c r="C65" s="2"/>
      <c r="D65" s="6"/>
      <c r="E65" s="6"/>
      <c r="F65" s="6"/>
      <c r="G65" s="6"/>
      <c r="H65" s="7">
        <f t="shared" ref="H65:AA65" si="19">H62</f>
        <v>19.255494331510878</v>
      </c>
      <c r="I65" s="6">
        <f t="shared" si="19"/>
        <v>1.6181756422258755</v>
      </c>
      <c r="J65" s="6">
        <f t="shared" si="19"/>
        <v>-1.7527409307492756</v>
      </c>
      <c r="K65" s="6">
        <f t="shared" si="19"/>
        <v>23.197266467223518</v>
      </c>
      <c r="L65" s="6">
        <f t="shared" si="19"/>
        <v>-8.2803399627170187</v>
      </c>
      <c r="M65" s="7">
        <f t="shared" si="19"/>
        <v>14.678340077063844</v>
      </c>
      <c r="N65" s="6">
        <f t="shared" si="19"/>
        <v>8.3831925389256234</v>
      </c>
      <c r="O65" s="6">
        <f t="shared" si="19"/>
        <v>0.18309339456442753</v>
      </c>
      <c r="P65" s="6">
        <f t="shared" si="19"/>
        <v>-22.866840206501617</v>
      </c>
      <c r="Q65" s="6">
        <f t="shared" si="19"/>
        <v>1.3460439153042572</v>
      </c>
      <c r="R65" s="7">
        <f t="shared" si="19"/>
        <v>-12.954293467707302</v>
      </c>
      <c r="S65" s="6">
        <f t="shared" si="19"/>
        <v>-0.38212805713286357</v>
      </c>
      <c r="T65" s="6">
        <f t="shared" si="19"/>
        <v>-43.918332083554461</v>
      </c>
      <c r="U65" s="6">
        <f t="shared" si="19"/>
        <v>-20.163423216893484</v>
      </c>
      <c r="V65" s="6">
        <f t="shared" si="19"/>
        <v>-123.05208351568874</v>
      </c>
      <c r="W65" s="7">
        <f t="shared" si="19"/>
        <v>-187.47321687326956</v>
      </c>
      <c r="X65" s="6">
        <f t="shared" si="19"/>
        <v>-53.025765769417767</v>
      </c>
      <c r="Y65" s="6">
        <f t="shared" si="19"/>
        <v>-9.9671111560868972</v>
      </c>
      <c r="Z65" s="6">
        <f t="shared" si="19"/>
        <v>-16.685181518686441</v>
      </c>
      <c r="AA65" s="6">
        <f t="shared" si="19"/>
        <v>4.1561573499906999</v>
      </c>
      <c r="AB65" s="7">
        <f>AB62</f>
        <v>-75.521901094200388</v>
      </c>
      <c r="AC65" s="6">
        <f t="shared" ref="AC65:AT65" si="20">AC62</f>
        <v>-1.1775439193528214</v>
      </c>
      <c r="AD65" s="6">
        <f t="shared" si="20"/>
        <v>-4.1362705379915869</v>
      </c>
      <c r="AE65" s="6">
        <f t="shared" si="20"/>
        <v>7.5299175940054326</v>
      </c>
      <c r="AF65" s="6">
        <f t="shared" si="20"/>
        <v>53.737194105184635</v>
      </c>
      <c r="AG65" s="7">
        <f t="shared" si="20"/>
        <v>55.953297241845647</v>
      </c>
      <c r="AH65" s="6">
        <f t="shared" si="20"/>
        <v>-10.455517819999999</v>
      </c>
      <c r="AI65" s="6">
        <f t="shared" si="20"/>
        <v>13.168517820000003</v>
      </c>
      <c r="AJ65" s="6">
        <f t="shared" si="20"/>
        <v>-8.6839982356187075</v>
      </c>
      <c r="AK65" s="6">
        <f t="shared" si="20"/>
        <v>47.747272545974937</v>
      </c>
      <c r="AL65" s="7">
        <f t="shared" si="20"/>
        <v>41.777158700356225</v>
      </c>
      <c r="AM65" s="6">
        <f t="shared" si="20"/>
        <v>62.176650504793756</v>
      </c>
      <c r="AN65" s="6">
        <f t="shared" si="20"/>
        <v>46.928034864793752</v>
      </c>
      <c r="AO65" s="6">
        <f t="shared" si="20"/>
        <v>49.777945000000017</v>
      </c>
      <c r="AP65" s="6">
        <f t="shared" si="20"/>
        <v>-1.9096213912691162</v>
      </c>
      <c r="AQ65" s="7">
        <f t="shared" si="20"/>
        <v>156.98761897831841</v>
      </c>
      <c r="AR65" s="6">
        <f t="shared" si="20"/>
        <v>-45.831940220000014</v>
      </c>
      <c r="AS65" s="6">
        <f t="shared" si="20"/>
        <v>-32.967923208448639</v>
      </c>
      <c r="AT65" s="6">
        <f t="shared" si="20"/>
        <v>12.226857832066131</v>
      </c>
      <c r="AU65" s="6">
        <v>-4.2348574120661269</v>
      </c>
      <c r="AV65" s="7">
        <v>-70.753</v>
      </c>
      <c r="AW65" s="6">
        <f>AW62</f>
        <v>-21.843</v>
      </c>
      <c r="AX65" s="6">
        <f>AX62</f>
        <v>6.7920000000000034</v>
      </c>
      <c r="AY65" s="6">
        <f>AY62</f>
        <v>-6.2910000000000004</v>
      </c>
      <c r="AZ65" s="6">
        <f t="shared" ref="AZ65:BA65" si="21">AZ62</f>
        <v>-25.087011659999995</v>
      </c>
      <c r="BA65" s="7">
        <f t="shared" si="21"/>
        <v>-46.482011659999998</v>
      </c>
      <c r="BB65" s="6">
        <v>-4.3529999999999998</v>
      </c>
      <c r="BC65" s="6">
        <v>-8.3570772400000326</v>
      </c>
      <c r="BD65" s="6">
        <v>-13.365000000000002</v>
      </c>
      <c r="BE65" s="6">
        <v>-7.26</v>
      </c>
      <c r="BF65" s="158">
        <v>-33.314000000000007</v>
      </c>
      <c r="BG65" s="6">
        <v>-10.326000000000001</v>
      </c>
      <c r="BH65" s="6">
        <v>-12.126999999999999</v>
      </c>
      <c r="BJ65" s="216"/>
    </row>
    <row r="66" spans="1:62" x14ac:dyDescent="0.4">
      <c r="A66" s="9" t="s">
        <v>243</v>
      </c>
      <c r="B66" s="9" t="s">
        <v>244</v>
      </c>
      <c r="C66" s="2"/>
      <c r="D66" s="6"/>
      <c r="E66" s="6"/>
      <c r="F66" s="6"/>
      <c r="G66" s="6"/>
      <c r="H66" s="7">
        <f>'WEB CONSOLIDADO'!H57</f>
        <v>0</v>
      </c>
      <c r="I66" s="6">
        <f>'WEB CONSOLIDADO'!I57</f>
        <v>0</v>
      </c>
      <c r="J66" s="6">
        <f>'WEB CONSOLIDADO'!J57</f>
        <v>0</v>
      </c>
      <c r="K66" s="6">
        <f>'WEB CONSOLIDADO'!K57</f>
        <v>0</v>
      </c>
      <c r="L66" s="6">
        <f>'WEB CONSOLIDADO'!L57</f>
        <v>0</v>
      </c>
      <c r="M66" s="7">
        <f>'WEB CONSOLIDADO'!M57</f>
        <v>0</v>
      </c>
      <c r="N66" s="6">
        <f>'WEB CONSOLIDADO'!N57</f>
        <v>0</v>
      </c>
      <c r="O66" s="6">
        <f>'WEB CONSOLIDADO'!O57</f>
        <v>0</v>
      </c>
      <c r="P66" s="6">
        <f>'WEB CONSOLIDADO'!P57</f>
        <v>0</v>
      </c>
      <c r="Q66" s="6">
        <f>'WEB CONSOLIDADO'!Q57</f>
        <v>0</v>
      </c>
      <c r="R66" s="7">
        <f>'WEB CONSOLIDADO'!R57</f>
        <v>0</v>
      </c>
      <c r="S66" s="6">
        <f>'WEB CONSOLIDADO'!S57</f>
        <v>0</v>
      </c>
      <c r="T66" s="6">
        <f>'WEB CONSOLIDADO'!T57</f>
        <v>0</v>
      </c>
      <c r="U66" s="6">
        <f>'WEB CONSOLIDADO'!U57</f>
        <v>-2.786</v>
      </c>
      <c r="V66" s="6">
        <f>'WEB CONSOLIDADO'!V57</f>
        <v>0</v>
      </c>
      <c r="W66" s="7">
        <f>'WEB CONSOLIDADO'!W57</f>
        <v>-2.786</v>
      </c>
      <c r="X66" s="6">
        <f>'WEB CONSOLIDADO'!X57</f>
        <v>0</v>
      </c>
      <c r="Y66" s="6">
        <f>'WEB CONSOLIDADO'!Y57</f>
        <v>-0.84499999999999997</v>
      </c>
      <c r="Z66" s="6">
        <f>'WEB CONSOLIDADO'!Z57</f>
        <v>-0.68400000000000005</v>
      </c>
      <c r="AA66" s="6">
        <f>'WEB CONSOLIDADO'!AA57</f>
        <v>-0.45600000000000002</v>
      </c>
      <c r="AB66" s="7">
        <f>'WEB CONSOLIDADO'!AB57</f>
        <v>-2</v>
      </c>
      <c r="AC66" s="6">
        <f>'WEB CONSOLIDADO'!AC57</f>
        <v>0</v>
      </c>
      <c r="AD66" s="6">
        <f>'WEB CONSOLIDADO'!AD57</f>
        <v>0</v>
      </c>
      <c r="AE66" s="6">
        <f>'WEB CONSOLIDADO'!AE57</f>
        <v>-1.1774491455672</v>
      </c>
      <c r="AF66" s="6">
        <f>'WEB CONSOLIDADO'!AF57</f>
        <v>-0.23100000000000009</v>
      </c>
      <c r="AG66" s="7">
        <f>'WEB CONSOLIDADO'!AG57</f>
        <v>-1.4084491455672001</v>
      </c>
      <c r="AH66" s="6">
        <f>'WEB CONSOLIDADO'!AH57</f>
        <v>0</v>
      </c>
      <c r="AI66" s="6">
        <f>'WEB CONSOLIDADO'!AI57</f>
        <v>0</v>
      </c>
      <c r="AJ66" s="6">
        <f>'WEB CONSOLIDADO'!AJ57</f>
        <v>-0.625</v>
      </c>
      <c r="AK66" s="6">
        <f>'WEB CONSOLIDADO'!AK57</f>
        <v>-12.740122949980003</v>
      </c>
      <c r="AL66" s="7">
        <f>'WEB CONSOLIDADO'!AL57</f>
        <v>-13.365122949980003</v>
      </c>
      <c r="AM66" s="6">
        <f>'WEB CONSOLIDADO'!AM57</f>
        <v>0</v>
      </c>
      <c r="AN66" s="6">
        <f>'WEB CONSOLIDADO'!AN57</f>
        <v>0</v>
      </c>
      <c r="AO66" s="6">
        <f>'WEB CONSOLIDADO'!AO57</f>
        <v>-0.98099999999999998</v>
      </c>
      <c r="AP66" s="6">
        <f>'WEB CONSOLIDADO'!AP57</f>
        <v>0</v>
      </c>
      <c r="AQ66" s="7">
        <f>'WEB CONSOLIDADO'!AQ57</f>
        <v>-0.98099999999999998</v>
      </c>
      <c r="AR66" s="6">
        <f>'WEB CONSOLIDADO'!AR57</f>
        <v>0</v>
      </c>
      <c r="AS66" s="6">
        <f>'WEB CONSOLIDADO'!AS57</f>
        <v>0</v>
      </c>
      <c r="AT66" s="6">
        <f>'WEB CONSOLIDADO'!AT57</f>
        <v>-4.0510000000000002</v>
      </c>
      <c r="AU66" s="6">
        <v>0</v>
      </c>
      <c r="AV66" s="7">
        <v>-4.0510000000000002</v>
      </c>
      <c r="AW66" s="6">
        <f>'WEB CONSOLIDADO'!AW57</f>
        <v>0</v>
      </c>
      <c r="AX66" s="6">
        <f>'WEB CONSOLIDADO'!AX57</f>
        <v>0</v>
      </c>
      <c r="AY66" s="6">
        <f>'WEB CONSOLIDADO'!AY57</f>
        <v>-5.0999999999999996</v>
      </c>
      <c r="AZ66" s="6">
        <f>'WEB CONSOLIDADO'!AZ57</f>
        <v>0</v>
      </c>
      <c r="BA66" s="7">
        <f>'WEB CONSOLIDADO'!BA57</f>
        <v>-5.125</v>
      </c>
      <c r="BB66" s="6">
        <v>0</v>
      </c>
      <c r="BC66" s="6">
        <v>0</v>
      </c>
      <c r="BD66" s="6">
        <v>-0.441</v>
      </c>
      <c r="BE66" s="6">
        <v>0</v>
      </c>
      <c r="BF66" s="158">
        <v>-0.441</v>
      </c>
      <c r="BG66" s="6">
        <v>0.441</v>
      </c>
      <c r="BH66" s="6">
        <v>0.442</v>
      </c>
      <c r="BJ66" s="216"/>
    </row>
    <row r="67" spans="1:62" s="45" customFormat="1" x14ac:dyDescent="0.4">
      <c r="A67" s="82" t="s">
        <v>159</v>
      </c>
      <c r="B67" s="5" t="s">
        <v>160</v>
      </c>
      <c r="D67" s="83"/>
      <c r="E67" s="83"/>
      <c r="F67" s="83"/>
      <c r="G67" s="83"/>
      <c r="H67" s="84"/>
      <c r="I67" s="53">
        <f>I68-I66-I62</f>
        <v>10.849291551636465</v>
      </c>
      <c r="J67" s="53">
        <f t="shared" ref="J67:AT67" si="22">J68-J66-J62</f>
        <v>1.4634389813256159</v>
      </c>
      <c r="K67" s="53">
        <f t="shared" si="22"/>
        <v>2.3419653399958875</v>
      </c>
      <c r="L67" s="53">
        <f t="shared" si="22"/>
        <v>7.2573924199369237</v>
      </c>
      <c r="M67" s="54">
        <f t="shared" si="22"/>
        <v>22.016109431814151</v>
      </c>
      <c r="N67" s="53">
        <f t="shared" si="22"/>
        <v>0.98335593432138069</v>
      </c>
      <c r="O67" s="53">
        <f t="shared" si="22"/>
        <v>-10.417093394564422</v>
      </c>
      <c r="P67" s="53">
        <f t="shared" si="22"/>
        <v>12.270840206501614</v>
      </c>
      <c r="Q67" s="53">
        <f t="shared" si="22"/>
        <v>0.28795608469571476</v>
      </c>
      <c r="R67" s="85">
        <f t="shared" si="22"/>
        <v>3.1248419409542798</v>
      </c>
      <c r="S67" s="53">
        <f t="shared" si="22"/>
        <v>6.1577362971328746</v>
      </c>
      <c r="T67" s="53">
        <f t="shared" si="22"/>
        <v>3.3967238435544687</v>
      </c>
      <c r="U67" s="53">
        <f t="shared" si="22"/>
        <v>-5.8335767831065155</v>
      </c>
      <c r="V67" s="53">
        <f t="shared" si="22"/>
        <v>62.441083515688774</v>
      </c>
      <c r="W67" s="85">
        <f t="shared" si="22"/>
        <v>66.119216873269622</v>
      </c>
      <c r="X67" s="53">
        <f t="shared" si="22"/>
        <v>-10.960234230582223</v>
      </c>
      <c r="Y67" s="53">
        <f t="shared" si="22"/>
        <v>0.33111115608687491</v>
      </c>
      <c r="Z67" s="53">
        <f t="shared" si="22"/>
        <v>2.8731815186864313</v>
      </c>
      <c r="AA67" s="53">
        <f t="shared" si="22"/>
        <v>35.444842650009228</v>
      </c>
      <c r="AB67" s="85">
        <f t="shared" si="22"/>
        <v>27.70390109420029</v>
      </c>
      <c r="AC67" s="53">
        <f t="shared" si="22"/>
        <v>0.24954391935282416</v>
      </c>
      <c r="AD67" s="53">
        <f t="shared" si="22"/>
        <v>-5.8587294620083039</v>
      </c>
      <c r="AE67" s="53">
        <f t="shared" si="22"/>
        <v>5.7455315515617809</v>
      </c>
      <c r="AF67" s="53">
        <f t="shared" si="22"/>
        <v>17.842805894815321</v>
      </c>
      <c r="AG67" s="85">
        <f t="shared" si="22"/>
        <v>17.979151903721643</v>
      </c>
      <c r="AH67" s="53">
        <f t="shared" si="22"/>
        <v>-7.7214821800000504</v>
      </c>
      <c r="AI67" s="53">
        <f t="shared" si="22"/>
        <v>6.5814821800000249</v>
      </c>
      <c r="AJ67" s="53">
        <f t="shared" si="22"/>
        <v>-1.7590017643813045</v>
      </c>
      <c r="AK67" s="53">
        <f t="shared" si="22"/>
        <v>-12.251149595994931</v>
      </c>
      <c r="AL67" s="85">
        <f t="shared" si="22"/>
        <v>-15.151035750376252</v>
      </c>
      <c r="AM67" s="53">
        <f t="shared" si="22"/>
        <v>-1.8106505047937489</v>
      </c>
      <c r="AN67" s="53">
        <f t="shared" si="22"/>
        <v>1.5509651352062619</v>
      </c>
      <c r="AO67" s="53">
        <f t="shared" si="22"/>
        <v>-39.037945000000029</v>
      </c>
      <c r="AP67" s="53">
        <f t="shared" si="22"/>
        <v>-1.5973786087308701</v>
      </c>
      <c r="AQ67" s="85">
        <f t="shared" si="22"/>
        <v>-40.909618978318392</v>
      </c>
      <c r="AR67" s="53">
        <f t="shared" si="22"/>
        <v>-3.4060597799999854</v>
      </c>
      <c r="AS67" s="53">
        <f t="shared" si="22"/>
        <v>1.6909232084486305</v>
      </c>
      <c r="AT67" s="53">
        <f t="shared" si="22"/>
        <v>-14.668857832066125</v>
      </c>
      <c r="AU67" s="53">
        <v>3.8418574120661262</v>
      </c>
      <c r="AV67" s="85">
        <v>-12.597000000000008</v>
      </c>
      <c r="AW67" s="53">
        <f>AW68-AW66-AW62</f>
        <v>6.1190000000000104</v>
      </c>
      <c r="AX67" s="53">
        <f>AX68-AX66-AX62</f>
        <v>44.867999999999995</v>
      </c>
      <c r="AY67" s="53">
        <f>AY68-AY66-AY62</f>
        <v>-8.9630000000000134</v>
      </c>
      <c r="AZ67" s="53">
        <f t="shared" ref="AZ67:BA67" si="23">AZ68-AZ66-AZ62</f>
        <v>24.430011660000012</v>
      </c>
      <c r="BA67" s="85">
        <f t="shared" si="23"/>
        <v>66.532011660000009</v>
      </c>
      <c r="BB67" s="53">
        <v>-1.2129999999999885</v>
      </c>
      <c r="BC67" s="53">
        <v>-13.944599859999988</v>
      </c>
      <c r="BD67" s="53">
        <v>9.0120000000000324</v>
      </c>
      <c r="BE67" s="53">
        <v>6.7322905199999585</v>
      </c>
      <c r="BF67" s="178">
        <v>0.56561341999999115</v>
      </c>
      <c r="BG67" s="53">
        <v>-0.75370948000004567</v>
      </c>
      <c r="BH67" s="53">
        <v>-1.0107094800000347</v>
      </c>
      <c r="BJ67" s="216"/>
    </row>
    <row r="68" spans="1:62" s="45" customFormat="1" x14ac:dyDescent="0.4">
      <c r="A68" s="47" t="s">
        <v>161</v>
      </c>
      <c r="B68" s="47" t="s">
        <v>162</v>
      </c>
      <c r="C68" s="87"/>
      <c r="D68" s="88"/>
      <c r="E68" s="88"/>
      <c r="F68" s="88"/>
      <c r="G68" s="88"/>
      <c r="H68" s="89"/>
      <c r="I68" s="48">
        <f>-I80+H80</f>
        <v>12.46746719386234</v>
      </c>
      <c r="J68" s="48">
        <f t="shared" ref="J68:AT68" si="24">-J80+I80</f>
        <v>-0.28930194942365972</v>
      </c>
      <c r="K68" s="48">
        <f t="shared" si="24"/>
        <v>25.539231807219405</v>
      </c>
      <c r="L68" s="48">
        <f t="shared" si="24"/>
        <v>-1.0229475427800949</v>
      </c>
      <c r="M68" s="69">
        <f>-M80+H80</f>
        <v>36.694449508877995</v>
      </c>
      <c r="N68" s="48">
        <f t="shared" si="24"/>
        <v>9.3665484732470041</v>
      </c>
      <c r="O68" s="48">
        <f t="shared" si="24"/>
        <v>-10.233999999999995</v>
      </c>
      <c r="P68" s="48">
        <f t="shared" si="24"/>
        <v>-10.596000000000004</v>
      </c>
      <c r="Q68" s="48">
        <f t="shared" si="24"/>
        <v>1.6339999999999719</v>
      </c>
      <c r="R68" s="69">
        <f>-R80+M80</f>
        <v>-9.8294515267530223</v>
      </c>
      <c r="S68" s="48">
        <f t="shared" si="24"/>
        <v>5.7756082400000111</v>
      </c>
      <c r="T68" s="48">
        <f t="shared" si="24"/>
        <v>-40.521608239999992</v>
      </c>
      <c r="U68" s="48">
        <f t="shared" si="24"/>
        <v>-28.783000000000001</v>
      </c>
      <c r="V68" s="48">
        <f t="shared" si="24"/>
        <v>-60.610999999999962</v>
      </c>
      <c r="W68" s="69">
        <f>-W80+R80</f>
        <v>-124.13999999999994</v>
      </c>
      <c r="X68" s="48">
        <f t="shared" si="24"/>
        <v>-63.98599999999999</v>
      </c>
      <c r="Y68" s="48">
        <f t="shared" si="24"/>
        <v>-10.481000000000023</v>
      </c>
      <c r="Z68" s="48">
        <f t="shared" si="24"/>
        <v>-14.496000000000009</v>
      </c>
      <c r="AA68" s="48">
        <f t="shared" si="24"/>
        <v>39.144999999999925</v>
      </c>
      <c r="AB68" s="69">
        <f>-AB80+W80</f>
        <v>-49.818000000000097</v>
      </c>
      <c r="AC68" s="48">
        <f t="shared" si="24"/>
        <v>-0.92799999999999727</v>
      </c>
      <c r="AD68" s="48">
        <f t="shared" si="24"/>
        <v>-9.9949999999998909</v>
      </c>
      <c r="AE68" s="48">
        <f t="shared" si="24"/>
        <v>12.098000000000013</v>
      </c>
      <c r="AF68" s="48">
        <f t="shared" si="24"/>
        <v>71.348999999999961</v>
      </c>
      <c r="AG68" s="69">
        <f>-AG80+AB80</f>
        <v>72.524000000000086</v>
      </c>
      <c r="AH68" s="48">
        <f t="shared" si="24"/>
        <v>-18.177000000000049</v>
      </c>
      <c r="AI68" s="48">
        <f t="shared" si="24"/>
        <v>19.750000000000028</v>
      </c>
      <c r="AJ68" s="48">
        <f t="shared" si="24"/>
        <v>-11.068000000000012</v>
      </c>
      <c r="AK68" s="48">
        <f t="shared" si="24"/>
        <v>22.756</v>
      </c>
      <c r="AL68" s="69">
        <f>-AL80+AG80</f>
        <v>13.260999999999967</v>
      </c>
      <c r="AM68" s="48">
        <f t="shared" si="24"/>
        <v>60.366000000000007</v>
      </c>
      <c r="AN68" s="48">
        <f t="shared" si="24"/>
        <v>48.479000000000013</v>
      </c>
      <c r="AO68" s="48">
        <f t="shared" si="24"/>
        <v>9.7589999999999861</v>
      </c>
      <c r="AP68" s="48">
        <f t="shared" si="24"/>
        <v>-3.5069999999999864</v>
      </c>
      <c r="AQ68" s="69">
        <f>-AQ80+AL80</f>
        <v>115.09700000000002</v>
      </c>
      <c r="AR68" s="48">
        <f t="shared" si="24"/>
        <v>-49.238</v>
      </c>
      <c r="AS68" s="48">
        <f t="shared" si="24"/>
        <v>-31.277000000000008</v>
      </c>
      <c r="AT68" s="48">
        <f t="shared" si="24"/>
        <v>-6.492999999999995</v>
      </c>
      <c r="AU68" s="48">
        <v>-0.39300000000000068</v>
      </c>
      <c r="AV68" s="80">
        <v>-87.40100000000001</v>
      </c>
      <c r="AW68" s="48">
        <f>-AW80+AV80</f>
        <v>-15.72399999999999</v>
      </c>
      <c r="AX68" s="48">
        <f>-AX80+AW80</f>
        <v>51.66</v>
      </c>
      <c r="AY68" s="48">
        <f>-AY80+AX80</f>
        <v>-20.354000000000013</v>
      </c>
      <c r="AZ68" s="48">
        <f t="shared" ref="AZ68:BB68" si="25">-AZ80+AY80</f>
        <v>-0.65699999999998226</v>
      </c>
      <c r="BA68" s="80">
        <f>-BA80+AV80</f>
        <v>14.925000000000011</v>
      </c>
      <c r="BB68" s="48">
        <f t="shared" si="25"/>
        <v>-5.5659999999999883</v>
      </c>
      <c r="BC68" s="48">
        <f t="shared" ref="BC68" si="26">-BC80+BB80</f>
        <v>-22.30167710000002</v>
      </c>
      <c r="BD68" s="48">
        <f>-BD80+BC80</f>
        <v>-4.7939999999999685</v>
      </c>
      <c r="BE68" s="48">
        <v>-0.52770948000004125</v>
      </c>
      <c r="BF68" s="198">
        <v>-33.189386580000019</v>
      </c>
      <c r="BG68" s="48">
        <v>-10.638709480000045</v>
      </c>
      <c r="BH68" s="48">
        <v>-12.695709480000033</v>
      </c>
      <c r="BJ68" s="216"/>
    </row>
    <row r="69" spans="1:62" s="17" customFormat="1" ht="16.5" thickBot="1" x14ac:dyDescent="0.45">
      <c r="A69" s="21"/>
      <c r="B69" s="21"/>
      <c r="C69" s="21"/>
      <c r="D69" s="51"/>
      <c r="E69" s="51"/>
      <c r="F69" s="51"/>
      <c r="G69" s="51"/>
      <c r="H69" s="126"/>
      <c r="I69" s="51"/>
      <c r="J69" s="51"/>
      <c r="K69" s="51"/>
      <c r="L69" s="51"/>
      <c r="M69" s="126"/>
      <c r="N69" s="51"/>
      <c r="O69" s="51"/>
      <c r="P69" s="51"/>
      <c r="Q69" s="51"/>
      <c r="R69" s="126"/>
      <c r="S69" s="51"/>
      <c r="T69" s="51"/>
      <c r="U69" s="51"/>
      <c r="V69" s="51"/>
      <c r="W69" s="126"/>
      <c r="X69" s="51"/>
      <c r="Y69" s="51"/>
      <c r="Z69" s="51"/>
      <c r="AA69" s="51"/>
      <c r="AB69" s="126"/>
      <c r="AC69" s="51"/>
      <c r="AD69" s="51"/>
      <c r="AE69" s="51"/>
      <c r="AF69" s="51"/>
      <c r="AG69" s="126"/>
      <c r="AH69" s="51"/>
      <c r="AI69" s="51"/>
      <c r="AJ69" s="51"/>
      <c r="AK69" s="51"/>
      <c r="AL69" s="126"/>
      <c r="AM69" s="51"/>
      <c r="AN69" s="51"/>
      <c r="AO69" s="51"/>
      <c r="AP69" s="51"/>
      <c r="AQ69" s="126"/>
      <c r="AR69" s="51"/>
      <c r="AS69" s="51"/>
      <c r="AT69" s="51"/>
      <c r="AU69" s="51"/>
      <c r="AV69" s="126"/>
      <c r="AW69" s="51"/>
      <c r="AX69" s="51"/>
      <c r="AY69" s="51"/>
      <c r="AZ69" s="51"/>
      <c r="BA69" s="126"/>
      <c r="BB69" s="51"/>
      <c r="BC69" s="51"/>
      <c r="BF69" s="209"/>
      <c r="BJ69" s="216"/>
    </row>
    <row r="70" spans="1:62" ht="16.5" thickBot="1" x14ac:dyDescent="0.45">
      <c r="A70" s="1" t="s">
        <v>163</v>
      </c>
      <c r="B70" s="92" t="s">
        <v>164</v>
      </c>
      <c r="D70" s="3" t="str">
        <f t="shared" ref="D70:AI70" si="27">D1</f>
        <v>1T15</v>
      </c>
      <c r="E70" s="3" t="str">
        <f t="shared" si="27"/>
        <v>2T15</v>
      </c>
      <c r="F70" s="3" t="str">
        <f t="shared" si="27"/>
        <v>3T15</v>
      </c>
      <c r="G70" s="3" t="str">
        <f t="shared" si="27"/>
        <v>4T15</v>
      </c>
      <c r="H70" s="4">
        <f t="shared" si="27"/>
        <v>2015</v>
      </c>
      <c r="I70" s="3" t="str">
        <f t="shared" si="27"/>
        <v>1T16</v>
      </c>
      <c r="J70" s="3" t="str">
        <f t="shared" si="27"/>
        <v>2T16</v>
      </c>
      <c r="K70" s="3" t="str">
        <f t="shared" si="27"/>
        <v>3T16</v>
      </c>
      <c r="L70" s="3" t="str">
        <f t="shared" si="27"/>
        <v>4T16</v>
      </c>
      <c r="M70" s="4">
        <f t="shared" si="27"/>
        <v>2016</v>
      </c>
      <c r="N70" s="3" t="str">
        <f t="shared" si="27"/>
        <v>1T17</v>
      </c>
      <c r="O70" s="3" t="str">
        <f t="shared" si="27"/>
        <v>2T17</v>
      </c>
      <c r="P70" s="3" t="str">
        <f t="shared" si="27"/>
        <v>3T17</v>
      </c>
      <c r="Q70" s="3" t="str">
        <f t="shared" si="27"/>
        <v>4T17</v>
      </c>
      <c r="R70" s="4">
        <f t="shared" si="27"/>
        <v>2017</v>
      </c>
      <c r="S70" s="3" t="str">
        <f t="shared" si="27"/>
        <v>1T18</v>
      </c>
      <c r="T70" s="3" t="str">
        <f t="shared" si="27"/>
        <v>2T18</v>
      </c>
      <c r="U70" s="3" t="str">
        <f t="shared" si="27"/>
        <v>3T18</v>
      </c>
      <c r="V70" s="3" t="str">
        <f t="shared" si="27"/>
        <v>4T18</v>
      </c>
      <c r="W70" s="4">
        <f t="shared" si="27"/>
        <v>2018</v>
      </c>
      <c r="X70" s="3" t="str">
        <f t="shared" si="27"/>
        <v>1T19</v>
      </c>
      <c r="Y70" s="3" t="str">
        <f t="shared" si="27"/>
        <v>2T19</v>
      </c>
      <c r="Z70" s="3" t="str">
        <f t="shared" si="27"/>
        <v>3T19</v>
      </c>
      <c r="AA70" s="3" t="str">
        <f t="shared" si="27"/>
        <v>4T19</v>
      </c>
      <c r="AB70" s="4">
        <f t="shared" si="27"/>
        <v>2019</v>
      </c>
      <c r="AC70" s="3" t="str">
        <f t="shared" si="27"/>
        <v>1T20</v>
      </c>
      <c r="AD70" s="3" t="str">
        <f t="shared" si="27"/>
        <v>2T20</v>
      </c>
      <c r="AE70" s="3" t="str">
        <f t="shared" si="27"/>
        <v>3T20</v>
      </c>
      <c r="AF70" s="3" t="str">
        <f t="shared" si="27"/>
        <v>4T20</v>
      </c>
      <c r="AG70" s="4">
        <f t="shared" si="27"/>
        <v>2020</v>
      </c>
      <c r="AH70" s="3" t="str">
        <f t="shared" si="27"/>
        <v>1T21</v>
      </c>
      <c r="AI70" s="3" t="str">
        <f t="shared" si="27"/>
        <v>2T21</v>
      </c>
      <c r="AJ70" s="3" t="str">
        <f t="shared" ref="AJ70:BB70" si="28">AJ1</f>
        <v>3T21</v>
      </c>
      <c r="AK70" s="3" t="str">
        <f t="shared" si="28"/>
        <v>4T21</v>
      </c>
      <c r="AL70" s="4">
        <f t="shared" si="28"/>
        <v>2021</v>
      </c>
      <c r="AM70" s="3" t="str">
        <f t="shared" si="28"/>
        <v>1T22</v>
      </c>
      <c r="AN70" s="3" t="str">
        <f t="shared" si="28"/>
        <v>2T22</v>
      </c>
      <c r="AO70" s="3" t="str">
        <f t="shared" si="28"/>
        <v>3T22</v>
      </c>
      <c r="AP70" s="3" t="str">
        <f t="shared" si="28"/>
        <v>4T22</v>
      </c>
      <c r="AQ70" s="4">
        <f t="shared" si="28"/>
        <v>2022</v>
      </c>
      <c r="AR70" s="3" t="str">
        <f t="shared" si="28"/>
        <v>1T23</v>
      </c>
      <c r="AS70" s="3" t="str">
        <f t="shared" si="28"/>
        <v>2T23</v>
      </c>
      <c r="AT70" s="3" t="str">
        <f t="shared" si="28"/>
        <v>3T23</v>
      </c>
      <c r="AU70" s="3" t="s">
        <v>37</v>
      </c>
      <c r="AV70" s="4">
        <v>2023</v>
      </c>
      <c r="AW70" s="3" t="str">
        <f t="shared" si="28"/>
        <v>1T24</v>
      </c>
      <c r="AX70" s="3" t="str">
        <f t="shared" si="28"/>
        <v>2T24</v>
      </c>
      <c r="AY70" s="3" t="str">
        <f t="shared" si="28"/>
        <v>3T24</v>
      </c>
      <c r="AZ70" s="3" t="str">
        <f t="shared" si="28"/>
        <v>4T24</v>
      </c>
      <c r="BA70" s="4">
        <f t="shared" si="28"/>
        <v>2024</v>
      </c>
      <c r="BB70" s="3" t="str">
        <f t="shared" si="28"/>
        <v>1T25</v>
      </c>
      <c r="BC70" s="3" t="s">
        <v>383</v>
      </c>
      <c r="BD70" s="3" t="s">
        <v>384</v>
      </c>
      <c r="BE70" s="3" t="s">
        <v>385</v>
      </c>
      <c r="BF70" s="4">
        <v>2025</v>
      </c>
      <c r="BG70" s="3" t="s">
        <v>386</v>
      </c>
      <c r="BH70" s="3" t="s">
        <v>387</v>
      </c>
      <c r="BJ70" s="216"/>
    </row>
    <row r="71" spans="1:62" x14ac:dyDescent="0.4">
      <c r="A71" s="9" t="s">
        <v>165</v>
      </c>
      <c r="B71" s="9" t="s">
        <v>166</v>
      </c>
      <c r="D71" s="6"/>
      <c r="E71" s="6"/>
      <c r="F71" s="6"/>
      <c r="G71" s="6"/>
      <c r="H71" s="119">
        <v>113.527434512125</v>
      </c>
      <c r="I71" s="6">
        <v>113.6786136349058</v>
      </c>
      <c r="J71" s="6">
        <v>99.378882217686311</v>
      </c>
      <c r="K71" s="6">
        <v>99.490675320466906</v>
      </c>
      <c r="L71" s="6">
        <v>107.217807073247</v>
      </c>
      <c r="M71" s="119">
        <v>107.217807073247</v>
      </c>
      <c r="N71" s="6">
        <v>106.932</v>
      </c>
      <c r="O71" s="6">
        <v>100.068</v>
      </c>
      <c r="P71" s="6">
        <v>99.914000000000001</v>
      </c>
      <c r="Q71" s="6">
        <v>129.24100000000001</v>
      </c>
      <c r="R71" s="119">
        <v>129.24100000000001</v>
      </c>
      <c r="S71" s="6">
        <v>136.39155861</v>
      </c>
      <c r="T71" s="6">
        <v>144.554</v>
      </c>
      <c r="U71" s="6">
        <v>144.71199999999999</v>
      </c>
      <c r="V71" s="6">
        <v>205.44499999999999</v>
      </c>
      <c r="W71" s="119">
        <v>205.44499999999999</v>
      </c>
      <c r="X71" s="6">
        <v>297.13900000000001</v>
      </c>
      <c r="Y71" s="6">
        <v>293.904</v>
      </c>
      <c r="Z71" s="6">
        <v>299.04399999999998</v>
      </c>
      <c r="AA71" s="6">
        <v>294.15100000000001</v>
      </c>
      <c r="AB71" s="119">
        <v>294.15100000000001</v>
      </c>
      <c r="AC71" s="6">
        <v>296.31700000000001</v>
      </c>
      <c r="AD71" s="6">
        <v>285.38299999999998</v>
      </c>
      <c r="AE71" s="6">
        <v>285.75599999999997</v>
      </c>
      <c r="AF71" s="6">
        <v>189.23099999999999</v>
      </c>
      <c r="AG71" s="119">
        <v>189.23099999999999</v>
      </c>
      <c r="AH71" s="6">
        <v>189.691</v>
      </c>
      <c r="AI71" s="6">
        <v>176.36199999999999</v>
      </c>
      <c r="AJ71" s="6">
        <v>176.60900000000001</v>
      </c>
      <c r="AK71" s="6">
        <v>162.154</v>
      </c>
      <c r="AL71" s="119">
        <v>162.154</v>
      </c>
      <c r="AM71" s="6">
        <v>162.36500000000001</v>
      </c>
      <c r="AN71" s="6">
        <v>133.876</v>
      </c>
      <c r="AO71" s="6">
        <v>134.06800000000001</v>
      </c>
      <c r="AP71" s="6">
        <v>121.89</v>
      </c>
      <c r="AQ71" s="119">
        <v>121.89</v>
      </c>
      <c r="AR71" s="6">
        <v>122.045</v>
      </c>
      <c r="AS71" s="6">
        <v>109.834</v>
      </c>
      <c r="AT71" s="6">
        <v>109.97</v>
      </c>
      <c r="AU71" s="6">
        <v>88.915000000000006</v>
      </c>
      <c r="AV71" s="119">
        <v>88.915000000000006</v>
      </c>
      <c r="AW71" s="6">
        <v>88.972999999999999</v>
      </c>
      <c r="AX71" s="6">
        <v>87.346999999999994</v>
      </c>
      <c r="AY71" s="6">
        <v>156.24</v>
      </c>
      <c r="AZ71" s="6">
        <v>151.16</v>
      </c>
      <c r="BA71" s="119">
        <v>151.16</v>
      </c>
      <c r="BB71" s="6">
        <v>165.226</v>
      </c>
      <c r="BC71" s="6">
        <v>159.43</v>
      </c>
      <c r="BD71" s="6">
        <v>159.63999999999999</v>
      </c>
      <c r="BE71" s="6">
        <v>153.87700000000001</v>
      </c>
      <c r="BF71" s="207">
        <v>153.87700000000001</v>
      </c>
      <c r="BG71" s="6">
        <v>154.084</v>
      </c>
      <c r="BH71" s="6">
        <v>148.41200000000001</v>
      </c>
      <c r="BJ71" s="216"/>
    </row>
    <row r="72" spans="1:62" x14ac:dyDescent="0.4">
      <c r="A72" s="9" t="s">
        <v>245</v>
      </c>
      <c r="B72" s="9" t="s">
        <v>168</v>
      </c>
      <c r="C72" s="2"/>
      <c r="D72" s="6"/>
      <c r="E72" s="6"/>
      <c r="F72" s="6"/>
      <c r="G72" s="6"/>
      <c r="H72" s="7">
        <v>12.049563470000001</v>
      </c>
      <c r="I72" s="6">
        <v>12.866261519999998</v>
      </c>
      <c r="J72" s="6">
        <v>12.396950520000001</v>
      </c>
      <c r="K72" s="6">
        <v>13.126925610000001</v>
      </c>
      <c r="L72" s="6">
        <v>13.7617414</v>
      </c>
      <c r="M72" s="7">
        <v>13.7617414</v>
      </c>
      <c r="N72" s="6">
        <v>14.442</v>
      </c>
      <c r="O72" s="6">
        <v>14.101000000000001</v>
      </c>
      <c r="P72" s="6">
        <v>14.755000000000001</v>
      </c>
      <c r="Q72" s="6">
        <v>7.0309999999999997</v>
      </c>
      <c r="R72" s="7">
        <v>7.0309999999999997</v>
      </c>
      <c r="S72" s="6">
        <v>7.97683315</v>
      </c>
      <c r="T72" s="6">
        <v>10.566000000000001</v>
      </c>
      <c r="U72" s="6">
        <v>11.568</v>
      </c>
      <c r="V72" s="6">
        <v>152.19999999999999</v>
      </c>
      <c r="W72" s="7">
        <v>152.19999999999999</v>
      </c>
      <c r="X72" s="6">
        <v>23.952999999999999</v>
      </c>
      <c r="Y72" s="6">
        <v>22.866</v>
      </c>
      <c r="Z72" s="6">
        <v>25.003</v>
      </c>
      <c r="AA72" s="6">
        <v>25.149000000000001</v>
      </c>
      <c r="AB72" s="7">
        <v>25.149000000000001</v>
      </c>
      <c r="AC72" s="6">
        <v>26.902999999999999</v>
      </c>
      <c r="AD72" s="6">
        <v>31.972000000000001</v>
      </c>
      <c r="AE72" s="6">
        <v>33.801000000000002</v>
      </c>
      <c r="AF72" s="6">
        <v>28.599</v>
      </c>
      <c r="AG72" s="7">
        <v>28.599</v>
      </c>
      <c r="AH72" s="6">
        <v>29.995999999999999</v>
      </c>
      <c r="AI72" s="6">
        <v>29.4</v>
      </c>
      <c r="AJ72" s="6">
        <v>30.97</v>
      </c>
      <c r="AK72" s="6">
        <v>29.405999999999999</v>
      </c>
      <c r="AL72" s="7">
        <v>29.405999999999999</v>
      </c>
      <c r="AM72" s="6">
        <v>30.85</v>
      </c>
      <c r="AN72" s="6">
        <v>29.4</v>
      </c>
      <c r="AO72" s="6">
        <v>30.731999999999999</v>
      </c>
      <c r="AP72" s="6">
        <v>27.091999999999999</v>
      </c>
      <c r="AQ72" s="7">
        <v>27.091999999999999</v>
      </c>
      <c r="AR72" s="6">
        <v>29.143000000000001</v>
      </c>
      <c r="AS72" s="6">
        <v>24.733000000000001</v>
      </c>
      <c r="AT72" s="6">
        <v>27.071000000000002</v>
      </c>
      <c r="AU72" s="6">
        <v>33.600999999999999</v>
      </c>
      <c r="AV72" s="7">
        <v>33.600999999999999</v>
      </c>
      <c r="AW72" s="6">
        <v>38.095999999999997</v>
      </c>
      <c r="AX72" s="6">
        <v>23</v>
      </c>
      <c r="AY72" s="6">
        <v>10.3</v>
      </c>
      <c r="AZ72" s="6">
        <v>11.259</v>
      </c>
      <c r="BA72" s="7">
        <v>11.259</v>
      </c>
      <c r="BB72" s="6">
        <v>13.63</v>
      </c>
      <c r="BC72" s="6">
        <v>11.220677100000001</v>
      </c>
      <c r="BD72" s="6">
        <v>13.4406771</v>
      </c>
      <c r="BE72" s="6">
        <v>11.195386580000001</v>
      </c>
      <c r="BF72" s="158">
        <v>11.195386580000001</v>
      </c>
      <c r="BG72" s="6">
        <v>13.388386580000001</v>
      </c>
      <c r="BH72" s="6">
        <v>11.06238658</v>
      </c>
      <c r="BJ72" s="216"/>
    </row>
    <row r="73" spans="1:62" x14ac:dyDescent="0.4">
      <c r="A73" s="47" t="s">
        <v>169</v>
      </c>
      <c r="B73" s="47" t="s">
        <v>170</v>
      </c>
      <c r="C73" s="103"/>
      <c r="D73" s="48"/>
      <c r="E73" s="48"/>
      <c r="F73" s="48"/>
      <c r="G73" s="48"/>
      <c r="H73" s="49">
        <v>125.57699798212499</v>
      </c>
      <c r="I73" s="48">
        <v>126.544</v>
      </c>
      <c r="J73" s="48">
        <v>111.77583273768631</v>
      </c>
      <c r="K73" s="48">
        <v>112.61760093046691</v>
      </c>
      <c r="L73" s="48">
        <v>120.97954847324701</v>
      </c>
      <c r="M73" s="49">
        <v>120.97954847324701</v>
      </c>
      <c r="N73" s="48">
        <v>121.374</v>
      </c>
      <c r="O73" s="48">
        <v>114.169</v>
      </c>
      <c r="P73" s="48">
        <v>114.669</v>
      </c>
      <c r="Q73" s="48">
        <v>136.27200000000002</v>
      </c>
      <c r="R73" s="49">
        <v>136.27200000000002</v>
      </c>
      <c r="S73" s="48">
        <v>144.36839176000001</v>
      </c>
      <c r="T73" s="48">
        <v>155.12</v>
      </c>
      <c r="U73" s="48">
        <v>156.28</v>
      </c>
      <c r="V73" s="48">
        <v>357.64499999999998</v>
      </c>
      <c r="W73" s="49">
        <v>357.64499999999998</v>
      </c>
      <c r="X73" s="48">
        <v>321.09199999999998</v>
      </c>
      <c r="Y73" s="48">
        <v>316.77</v>
      </c>
      <c r="Z73" s="48">
        <v>324.04699999999997</v>
      </c>
      <c r="AA73" s="48">
        <v>319.3</v>
      </c>
      <c r="AB73" s="49">
        <v>319.3</v>
      </c>
      <c r="AC73" s="48">
        <v>323.22000000000003</v>
      </c>
      <c r="AD73" s="48">
        <v>317.35499999999996</v>
      </c>
      <c r="AE73" s="48">
        <v>319.55699999999996</v>
      </c>
      <c r="AF73" s="48">
        <v>217.82999999999998</v>
      </c>
      <c r="AG73" s="49">
        <v>217.82999999999998</v>
      </c>
      <c r="AH73" s="48">
        <v>219.68700000000001</v>
      </c>
      <c r="AI73" s="48">
        <v>205.762</v>
      </c>
      <c r="AJ73" s="48">
        <v>207.57900000000001</v>
      </c>
      <c r="AK73" s="48">
        <v>191.56</v>
      </c>
      <c r="AL73" s="49">
        <v>191.56</v>
      </c>
      <c r="AM73" s="48">
        <v>193.215</v>
      </c>
      <c r="AN73" s="48">
        <v>163.27600000000001</v>
      </c>
      <c r="AO73" s="48">
        <v>164.8</v>
      </c>
      <c r="AP73" s="48">
        <v>148.982</v>
      </c>
      <c r="AQ73" s="49">
        <v>148.982</v>
      </c>
      <c r="AR73" s="48">
        <v>151.18799999999999</v>
      </c>
      <c r="AS73" s="48">
        <v>134.56700000000001</v>
      </c>
      <c r="AT73" s="48">
        <v>137.041</v>
      </c>
      <c r="AU73" s="48">
        <v>122.51600000000001</v>
      </c>
      <c r="AV73" s="49">
        <v>122.51600000000001</v>
      </c>
      <c r="AW73" s="48">
        <v>127.06899999999999</v>
      </c>
      <c r="AX73" s="48">
        <v>110.34699999999999</v>
      </c>
      <c r="AY73" s="48">
        <v>166.54000000000002</v>
      </c>
      <c r="AZ73" s="48">
        <v>162.41899999999998</v>
      </c>
      <c r="BA73" s="49">
        <v>162.41899999999998</v>
      </c>
      <c r="BB73" s="48">
        <v>178.85599999999999</v>
      </c>
      <c r="BC73" s="48">
        <v>170.6506771</v>
      </c>
      <c r="BD73" s="48">
        <v>173.08067709999997</v>
      </c>
      <c r="BE73" s="48">
        <v>165.07238658</v>
      </c>
      <c r="BF73" s="163">
        <v>165.07238658</v>
      </c>
      <c r="BG73" s="48">
        <v>167.47238658000001</v>
      </c>
      <c r="BH73" s="48">
        <v>159.47438658000002</v>
      </c>
      <c r="BJ73" s="216"/>
    </row>
    <row r="74" spans="1:62" x14ac:dyDescent="0.4">
      <c r="A74" s="9" t="s">
        <v>171</v>
      </c>
      <c r="B74" s="9" t="s">
        <v>172</v>
      </c>
      <c r="C74" s="21"/>
      <c r="D74" s="6"/>
      <c r="E74" s="6"/>
      <c r="F74" s="6"/>
      <c r="G74" s="6"/>
      <c r="H74" s="7"/>
      <c r="I74" s="6"/>
      <c r="J74" s="6"/>
      <c r="K74" s="6"/>
      <c r="L74" s="6"/>
      <c r="M74" s="7"/>
      <c r="N74" s="6"/>
      <c r="O74" s="6"/>
      <c r="P74" s="6"/>
      <c r="Q74" s="6"/>
      <c r="R74" s="7"/>
      <c r="S74" s="6"/>
      <c r="T74" s="6"/>
      <c r="U74" s="6"/>
      <c r="V74" s="6"/>
      <c r="W74" s="7"/>
      <c r="X74" s="6">
        <v>8.2100000000000009</v>
      </c>
      <c r="Y74" s="6">
        <v>8.1199999999999992</v>
      </c>
      <c r="Z74" s="6">
        <v>8.3490000000000002</v>
      </c>
      <c r="AA74" s="6">
        <v>8.26</v>
      </c>
      <c r="AB74" s="7">
        <v>8.26</v>
      </c>
      <c r="AC74" s="6">
        <v>8.4589999999999996</v>
      </c>
      <c r="AD74" s="6">
        <v>8.282</v>
      </c>
      <c r="AE74" s="6">
        <v>7.9939999999999998</v>
      </c>
      <c r="AF74" s="6">
        <v>0.73199999999999998</v>
      </c>
      <c r="AG74" s="7">
        <v>0.73199999999999998</v>
      </c>
      <c r="AH74" s="6">
        <v>0.875</v>
      </c>
      <c r="AI74" s="6">
        <v>0.79800000000000004</v>
      </c>
      <c r="AJ74" s="6">
        <v>0.73099999999999998</v>
      </c>
      <c r="AK74" s="6">
        <v>0.746</v>
      </c>
      <c r="AL74" s="7">
        <v>0.746</v>
      </c>
      <c r="AM74" s="6">
        <v>0.629</v>
      </c>
      <c r="AN74" s="6">
        <v>0.57899999999999996</v>
      </c>
      <c r="AO74" s="6">
        <v>0.69499999999999995</v>
      </c>
      <c r="AP74" s="6">
        <v>1.036</v>
      </c>
      <c r="AQ74" s="7">
        <v>1.036</v>
      </c>
      <c r="AR74" s="6">
        <v>1.52</v>
      </c>
      <c r="AS74" s="6">
        <v>1.61</v>
      </c>
      <c r="AT74" s="6">
        <v>1.7529999999999999</v>
      </c>
      <c r="AU74" s="6">
        <v>1.73</v>
      </c>
      <c r="AV74" s="7">
        <v>1.73</v>
      </c>
      <c r="AW74" s="6">
        <v>2.2090000000000001</v>
      </c>
      <c r="AX74" s="6">
        <v>2.8530000000000002</v>
      </c>
      <c r="AY74" s="6">
        <v>2.4569999999999999</v>
      </c>
      <c r="AZ74" s="6">
        <v>3.9780000000000002</v>
      </c>
      <c r="BA74" s="7">
        <v>3.9780000000000002</v>
      </c>
      <c r="BB74" s="6">
        <v>3.7130000000000001</v>
      </c>
      <c r="BC74" s="6">
        <v>4.21</v>
      </c>
      <c r="BD74" s="6">
        <v>3.9020000000000001</v>
      </c>
      <c r="BE74" s="6">
        <v>3.427</v>
      </c>
      <c r="BF74" s="158">
        <v>3.427</v>
      </c>
      <c r="BG74" s="6">
        <v>3.2919999999999998</v>
      </c>
      <c r="BH74" s="6">
        <v>3.4420000000000002</v>
      </c>
      <c r="BJ74" s="216"/>
    </row>
    <row r="75" spans="1:62" x14ac:dyDescent="0.4">
      <c r="A75" s="9" t="s">
        <v>173</v>
      </c>
      <c r="B75" s="9" t="s">
        <v>174</v>
      </c>
      <c r="C75" s="21"/>
      <c r="D75" s="6"/>
      <c r="E75" s="6"/>
      <c r="F75" s="6"/>
      <c r="G75" s="6"/>
      <c r="H75" s="7"/>
      <c r="I75" s="6"/>
      <c r="J75" s="6"/>
      <c r="K75" s="6"/>
      <c r="L75" s="6"/>
      <c r="M75" s="7"/>
      <c r="N75" s="6"/>
      <c r="O75" s="6"/>
      <c r="P75" s="6"/>
      <c r="Q75" s="6"/>
      <c r="R75" s="7"/>
      <c r="S75" s="6"/>
      <c r="T75" s="6"/>
      <c r="U75" s="6"/>
      <c r="V75" s="6"/>
      <c r="W75" s="7"/>
      <c r="X75" s="6">
        <v>0.34599999999999997</v>
      </c>
      <c r="Y75" s="6">
        <v>0.31900000000000001</v>
      </c>
      <c r="Z75" s="6">
        <v>0.39300000000000002</v>
      </c>
      <c r="AA75" s="6">
        <v>0.34699999999999998</v>
      </c>
      <c r="AB75" s="7">
        <v>0.34699999999999998</v>
      </c>
      <c r="AC75" s="6">
        <v>0.70899999999999996</v>
      </c>
      <c r="AD75" s="6">
        <v>0.63900000000000001</v>
      </c>
      <c r="AE75" s="6">
        <v>0.67</v>
      </c>
      <c r="AF75" s="6">
        <v>0.44900000000000001</v>
      </c>
      <c r="AG75" s="7">
        <v>0.44900000000000001</v>
      </c>
      <c r="AH75" s="6">
        <v>0.51400000000000001</v>
      </c>
      <c r="AI75" s="6">
        <v>0.57399999999999995</v>
      </c>
      <c r="AJ75" s="6">
        <v>0.49199999999999999</v>
      </c>
      <c r="AK75" s="6">
        <v>0.38100000000000001</v>
      </c>
      <c r="AL75" s="7">
        <v>0.38100000000000001</v>
      </c>
      <c r="AM75" s="6">
        <v>0.72899999999999998</v>
      </c>
      <c r="AN75" s="6">
        <v>0.53200000000000003</v>
      </c>
      <c r="AO75" s="6">
        <v>0.49299999999999999</v>
      </c>
      <c r="AP75" s="6">
        <v>0.66100000000000003</v>
      </c>
      <c r="AQ75" s="7">
        <v>0.66100000000000003</v>
      </c>
      <c r="AR75" s="6">
        <v>0.76100000000000001</v>
      </c>
      <c r="AS75" s="6">
        <v>0.875</v>
      </c>
      <c r="AT75" s="6">
        <v>1.004</v>
      </c>
      <c r="AU75" s="6">
        <v>1.1020000000000001</v>
      </c>
      <c r="AV75" s="7">
        <v>1.1020000000000001</v>
      </c>
      <c r="AW75" s="6">
        <v>1.0549999999999999</v>
      </c>
      <c r="AX75" s="6">
        <v>0.97299999999999998</v>
      </c>
      <c r="AY75" s="6">
        <v>1.381</v>
      </c>
      <c r="AZ75" s="6">
        <v>1.766</v>
      </c>
      <c r="BA75" s="7">
        <v>1.766</v>
      </c>
      <c r="BB75" s="6">
        <v>1.9630000000000001</v>
      </c>
      <c r="BC75" s="6">
        <v>1.7729999999999999</v>
      </c>
      <c r="BD75" s="6">
        <v>1.8420000000000001</v>
      </c>
      <c r="BE75" s="6">
        <v>1.718</v>
      </c>
      <c r="BF75" s="158">
        <v>1.718</v>
      </c>
      <c r="BG75" s="6">
        <v>1.92</v>
      </c>
      <c r="BH75" s="6">
        <v>1.847</v>
      </c>
      <c r="BJ75" s="216"/>
    </row>
    <row r="76" spans="1:62" x14ac:dyDescent="0.4">
      <c r="A76" s="47" t="s">
        <v>175</v>
      </c>
      <c r="B76" s="47" t="s">
        <v>176</v>
      </c>
      <c r="C76" s="62"/>
      <c r="D76" s="48"/>
      <c r="E76" s="48"/>
      <c r="F76" s="48"/>
      <c r="G76" s="48"/>
      <c r="H76" s="49"/>
      <c r="I76" s="48"/>
      <c r="J76" s="48"/>
      <c r="K76" s="48"/>
      <c r="L76" s="48"/>
      <c r="M76" s="49"/>
      <c r="N76" s="48"/>
      <c r="O76" s="48"/>
      <c r="P76" s="48"/>
      <c r="Q76" s="48"/>
      <c r="R76" s="49"/>
      <c r="S76" s="48"/>
      <c r="T76" s="48"/>
      <c r="U76" s="48"/>
      <c r="V76" s="48"/>
      <c r="W76" s="49"/>
      <c r="X76" s="48">
        <v>8.5560000000000009</v>
      </c>
      <c r="Y76" s="48">
        <v>8.4390000000000001</v>
      </c>
      <c r="Z76" s="48">
        <v>8.7420000000000009</v>
      </c>
      <c r="AA76" s="48">
        <v>8.6069999999999993</v>
      </c>
      <c r="AB76" s="49">
        <v>8.6069999999999993</v>
      </c>
      <c r="AC76" s="48">
        <v>9.1679999999999993</v>
      </c>
      <c r="AD76" s="48">
        <v>8.9209999999999994</v>
      </c>
      <c r="AE76" s="48">
        <v>8.6639999999999997</v>
      </c>
      <c r="AF76" s="48">
        <v>1.181</v>
      </c>
      <c r="AG76" s="49">
        <v>1.181</v>
      </c>
      <c r="AH76" s="48">
        <v>1.389</v>
      </c>
      <c r="AI76" s="48">
        <v>1.3719999999999999</v>
      </c>
      <c r="AJ76" s="48">
        <v>1.2229999999999999</v>
      </c>
      <c r="AK76" s="48">
        <v>1.127</v>
      </c>
      <c r="AL76" s="49">
        <v>1.127</v>
      </c>
      <c r="AM76" s="48">
        <v>1.3580000000000001</v>
      </c>
      <c r="AN76" s="48">
        <v>1.111</v>
      </c>
      <c r="AO76" s="48">
        <v>1.1879999999999999</v>
      </c>
      <c r="AP76" s="48">
        <v>1.6970000000000001</v>
      </c>
      <c r="AQ76" s="49">
        <v>1.6970000000000001</v>
      </c>
      <c r="AR76" s="48">
        <v>2.2810000000000001</v>
      </c>
      <c r="AS76" s="48">
        <v>2.4850000000000003</v>
      </c>
      <c r="AT76" s="48">
        <v>2.7569999999999997</v>
      </c>
      <c r="AU76" s="48">
        <v>2.8319999999999999</v>
      </c>
      <c r="AV76" s="49">
        <v>2.8319999999999999</v>
      </c>
      <c r="AW76" s="48">
        <v>3.2640000000000002</v>
      </c>
      <c r="AX76" s="48">
        <v>3.8260000000000001</v>
      </c>
      <c r="AY76" s="48">
        <v>3.8380000000000001</v>
      </c>
      <c r="AZ76" s="48">
        <v>5.7439999999999998</v>
      </c>
      <c r="BA76" s="49">
        <v>5.7439999999999998</v>
      </c>
      <c r="BB76" s="48">
        <v>5.6760000000000002</v>
      </c>
      <c r="BC76" s="48">
        <v>5.9829999999999997</v>
      </c>
      <c r="BD76" s="48">
        <v>5.7439999999999998</v>
      </c>
      <c r="BE76" s="48">
        <v>5.1449999999999996</v>
      </c>
      <c r="BF76" s="163">
        <v>5.1449999999999996</v>
      </c>
      <c r="BG76" s="48">
        <v>5.2119999999999997</v>
      </c>
      <c r="BH76" s="48">
        <v>5.2889999999999997</v>
      </c>
      <c r="BJ76" s="216"/>
    </row>
    <row r="77" spans="1:62" x14ac:dyDescent="0.4">
      <c r="A77" s="9" t="s">
        <v>177</v>
      </c>
      <c r="B77" s="9" t="s">
        <v>178</v>
      </c>
      <c r="C77" s="21"/>
      <c r="D77" s="6"/>
      <c r="E77" s="6"/>
      <c r="F77" s="6"/>
      <c r="G77" s="6"/>
      <c r="H77" s="7">
        <v>65.67</v>
      </c>
      <c r="I77" s="6">
        <v>79.105999999999995</v>
      </c>
      <c r="J77" s="6">
        <v>64.046999999999997</v>
      </c>
      <c r="K77" s="6">
        <v>90.427999999999997</v>
      </c>
      <c r="L77" s="6">
        <v>97.766000000000005</v>
      </c>
      <c r="M77" s="7">
        <v>97.766000000000005</v>
      </c>
      <c r="N77" s="6">
        <v>107.526</v>
      </c>
      <c r="O77" s="6">
        <v>90.087000000000003</v>
      </c>
      <c r="P77" s="6">
        <v>79.997</v>
      </c>
      <c r="Q77" s="6">
        <v>103.23399999999999</v>
      </c>
      <c r="R77" s="7">
        <v>103.23399999999999</v>
      </c>
      <c r="S77" s="6">
        <v>117.10599999999999</v>
      </c>
      <c r="T77" s="6">
        <v>87.33</v>
      </c>
      <c r="U77" s="6">
        <v>59.707000000000001</v>
      </c>
      <c r="V77" s="6">
        <v>200.46100000000001</v>
      </c>
      <c r="W77" s="7">
        <v>200.46100000000001</v>
      </c>
      <c r="X77" s="6">
        <v>108.47799999999999</v>
      </c>
      <c r="Y77" s="6">
        <v>93.557000000000002</v>
      </c>
      <c r="Z77" s="6">
        <v>86.638999999999996</v>
      </c>
      <c r="AA77" s="6">
        <v>120.902</v>
      </c>
      <c r="AB77" s="7">
        <v>120.902</v>
      </c>
      <c r="AC77" s="6">
        <v>114.455</v>
      </c>
      <c r="AD77" s="6">
        <v>98.347999999999999</v>
      </c>
      <c r="AE77" s="6">
        <v>112.39100000000001</v>
      </c>
      <c r="AF77" s="6">
        <v>74.531000000000006</v>
      </c>
      <c r="AG77" s="7">
        <v>74.531000000000006</v>
      </c>
      <c r="AH77" s="6">
        <v>58.418999999999997</v>
      </c>
      <c r="AI77" s="6">
        <v>64.227000000000004</v>
      </c>
      <c r="AJ77" s="6">
        <v>54.677000000000007</v>
      </c>
      <c r="AK77" s="6">
        <v>61.468000000000004</v>
      </c>
      <c r="AL77" s="7">
        <v>61.468000000000004</v>
      </c>
      <c r="AM77" s="6">
        <v>10</v>
      </c>
      <c r="AN77" s="6">
        <v>10</v>
      </c>
      <c r="AO77" s="6">
        <v>10</v>
      </c>
      <c r="AP77" s="6">
        <v>10</v>
      </c>
      <c r="AQ77" s="7">
        <v>10</v>
      </c>
      <c r="AR77" s="6">
        <v>10</v>
      </c>
      <c r="AS77" s="6">
        <v>10</v>
      </c>
      <c r="AT77" s="6">
        <v>10</v>
      </c>
      <c r="AU77" s="6">
        <v>10</v>
      </c>
      <c r="AV77" s="7">
        <v>10</v>
      </c>
      <c r="AW77" s="6">
        <v>10</v>
      </c>
      <c r="AX77" s="6">
        <v>10</v>
      </c>
      <c r="AY77" s="6">
        <v>10</v>
      </c>
      <c r="AZ77" s="6">
        <v>10</v>
      </c>
      <c r="BA77" s="7">
        <v>10</v>
      </c>
      <c r="BB77" s="6">
        <v>11.451000000000001</v>
      </c>
      <c r="BC77" s="6">
        <v>11.451000000000001</v>
      </c>
      <c r="BD77" s="6">
        <v>11.451000000000001</v>
      </c>
      <c r="BE77" s="6">
        <v>11.451000000000001</v>
      </c>
      <c r="BF77" s="158">
        <v>11.451000000000001</v>
      </c>
      <c r="BG77" s="6">
        <v>11.451000000000001</v>
      </c>
      <c r="BH77" s="6">
        <v>11.451000000000001</v>
      </c>
      <c r="BJ77" s="216"/>
    </row>
    <row r="78" spans="1:62" x14ac:dyDescent="0.4">
      <c r="A78" s="9" t="s">
        <v>246</v>
      </c>
      <c r="B78" s="9" t="s">
        <v>247</v>
      </c>
      <c r="C78" s="21"/>
      <c r="D78" s="6"/>
      <c r="E78" s="6"/>
      <c r="F78" s="6"/>
      <c r="G78" s="6"/>
      <c r="H78" s="7"/>
      <c r="I78" s="6"/>
      <c r="J78" s="6"/>
      <c r="K78" s="6"/>
      <c r="L78" s="6"/>
      <c r="M78" s="7"/>
      <c r="N78" s="6"/>
      <c r="O78" s="6"/>
      <c r="P78" s="6"/>
      <c r="Q78" s="6"/>
      <c r="R78" s="7"/>
      <c r="S78" s="6"/>
      <c r="T78" s="6"/>
      <c r="U78" s="6"/>
      <c r="V78" s="6"/>
      <c r="W78" s="7"/>
      <c r="X78" s="6"/>
      <c r="Y78" s="6"/>
      <c r="Z78" s="6"/>
      <c r="AA78" s="6"/>
      <c r="AB78" s="7"/>
      <c r="AC78" s="6">
        <v>10</v>
      </c>
      <c r="AD78" s="6">
        <v>10</v>
      </c>
      <c r="AE78" s="6">
        <v>10</v>
      </c>
      <c r="AF78" s="6">
        <v>10</v>
      </c>
      <c r="AG78" s="7">
        <v>10</v>
      </c>
      <c r="AH78" s="6">
        <v>10</v>
      </c>
      <c r="AI78" s="6">
        <v>10</v>
      </c>
      <c r="AJ78" s="6">
        <v>10</v>
      </c>
      <c r="AK78" s="6">
        <v>10</v>
      </c>
      <c r="AL78" s="7">
        <v>10</v>
      </c>
      <c r="AM78" s="6">
        <v>123.702</v>
      </c>
      <c r="AN78" s="6">
        <v>141.995</v>
      </c>
      <c r="AO78" s="6">
        <v>151.35499999999999</v>
      </c>
      <c r="AP78" s="6">
        <v>134.53700000000001</v>
      </c>
      <c r="AQ78" s="7">
        <v>134.53700000000001</v>
      </c>
      <c r="AR78" s="6">
        <v>88.088999999999999</v>
      </c>
      <c r="AS78" s="6">
        <v>40.395000000000003</v>
      </c>
      <c r="AT78" s="6">
        <v>36.648000000000003</v>
      </c>
      <c r="AU78" s="6">
        <v>21.805</v>
      </c>
      <c r="AV78" s="7">
        <v>21.805</v>
      </c>
      <c r="AW78" s="6">
        <v>11.066000000000001</v>
      </c>
      <c r="AX78" s="6">
        <v>46.555999999999997</v>
      </c>
      <c r="AY78" s="6">
        <v>82.266000000000005</v>
      </c>
      <c r="AZ78" s="6">
        <v>79.36</v>
      </c>
      <c r="BA78" s="7">
        <v>79.36</v>
      </c>
      <c r="BB78" s="6">
        <v>88.831000000000003</v>
      </c>
      <c r="BC78" s="6">
        <v>58.655999999999999</v>
      </c>
      <c r="BD78" s="6">
        <v>55.42</v>
      </c>
      <c r="BE78" s="6">
        <v>46.877000000000002</v>
      </c>
      <c r="BF78" s="158">
        <v>46.877000000000002</v>
      </c>
      <c r="BG78" s="6">
        <v>39.154000000000003</v>
      </c>
      <c r="BH78" s="6">
        <v>29.227</v>
      </c>
      <c r="BJ78" s="216"/>
    </row>
    <row r="79" spans="1:62" x14ac:dyDescent="0.4">
      <c r="A79" s="9" t="s">
        <v>179</v>
      </c>
      <c r="B79" s="9" t="s">
        <v>180</v>
      </c>
      <c r="C79" s="21"/>
      <c r="D79" s="6"/>
      <c r="E79" s="6"/>
      <c r="F79" s="6"/>
      <c r="G79" s="6"/>
      <c r="H79" s="7">
        <v>4.0000000000000001E-3</v>
      </c>
      <c r="I79" s="6">
        <v>4.0000000000000001E-3</v>
      </c>
      <c r="J79" s="6">
        <v>4.0000000000000001E-3</v>
      </c>
      <c r="K79" s="6">
        <v>4.0000000000000001E-3</v>
      </c>
      <c r="L79" s="6">
        <v>5.0000000000000001E-3</v>
      </c>
      <c r="M79" s="7">
        <v>5.0000000000000001E-3</v>
      </c>
      <c r="N79" s="6">
        <v>6.0000000000000001E-3</v>
      </c>
      <c r="O79" s="6">
        <v>6.0000000000000001E-3</v>
      </c>
      <c r="P79" s="6">
        <v>6.0000000000000001E-3</v>
      </c>
      <c r="Q79" s="6">
        <v>6.0000000000000001E-3</v>
      </c>
      <c r="R79" s="7">
        <v>6.0000000000000001E-3</v>
      </c>
      <c r="S79" s="6">
        <v>6.0000000000000001E-3</v>
      </c>
      <c r="T79" s="6">
        <v>6.0000000000000001E-3</v>
      </c>
      <c r="U79" s="6">
        <v>6.0000000000000001E-3</v>
      </c>
      <c r="V79" s="6">
        <v>6.0000000000000001E-3</v>
      </c>
      <c r="W79" s="7">
        <v>6.0000000000000001E-3</v>
      </c>
      <c r="X79" s="6">
        <v>6.0000000000000001E-3</v>
      </c>
      <c r="Y79" s="6">
        <v>7.0000000000000001E-3</v>
      </c>
      <c r="Z79" s="6">
        <v>8.9999999999999993E-3</v>
      </c>
      <c r="AA79" s="6">
        <v>8.9999999999999993E-3</v>
      </c>
      <c r="AB79" s="7">
        <v>8.9999999999999993E-3</v>
      </c>
      <c r="AC79" s="6">
        <v>8.9999999999999993E-3</v>
      </c>
      <c r="AD79" s="6">
        <v>8.9999999999999993E-3</v>
      </c>
      <c r="AE79" s="6">
        <v>8.9999999999999993E-3</v>
      </c>
      <c r="AF79" s="6">
        <v>8.0000000000000002E-3</v>
      </c>
      <c r="AG79" s="7">
        <v>8.0000000000000002E-3</v>
      </c>
      <c r="AH79" s="6">
        <v>8.0000000000000002E-3</v>
      </c>
      <c r="AI79" s="6">
        <v>8.0000000000000002E-3</v>
      </c>
      <c r="AJ79" s="6">
        <v>0.158</v>
      </c>
      <c r="AK79" s="6">
        <v>8.0000000000000002E-3</v>
      </c>
      <c r="AL79" s="7">
        <v>8.0000000000000002E-3</v>
      </c>
      <c r="AM79" s="6">
        <v>2.5999999999999999E-2</v>
      </c>
      <c r="AN79" s="6">
        <v>2.5999999999999999E-2</v>
      </c>
      <c r="AO79" s="6">
        <v>2.0259999999999998</v>
      </c>
      <c r="AP79" s="6">
        <v>2.8000000000000001E-2</v>
      </c>
      <c r="AQ79" s="7">
        <v>2.8000000000000001E-2</v>
      </c>
      <c r="AR79" s="6">
        <v>2.8000000000000001E-2</v>
      </c>
      <c r="AS79" s="6">
        <v>2.8000000000000001E-2</v>
      </c>
      <c r="AT79" s="6">
        <v>2.8000000000000001E-2</v>
      </c>
      <c r="AU79" s="6">
        <v>2.8000000000000001E-2</v>
      </c>
      <c r="AV79" s="7">
        <v>2.8000000000000001E-2</v>
      </c>
      <c r="AW79" s="6">
        <v>2.8000000000000001E-2</v>
      </c>
      <c r="AX79" s="6">
        <v>3.7999999999999999E-2</v>
      </c>
      <c r="AY79" s="6">
        <v>0.17899999999999999</v>
      </c>
      <c r="AZ79" s="6">
        <v>0.21299999999999999</v>
      </c>
      <c r="BA79" s="7">
        <v>0.21299999999999999</v>
      </c>
      <c r="BB79" s="6">
        <v>9.4E-2</v>
      </c>
      <c r="BC79" s="6">
        <v>6.9000000000000006E-2</v>
      </c>
      <c r="BD79" s="6">
        <v>0.70199999999999996</v>
      </c>
      <c r="BE79" s="6">
        <v>0.11</v>
      </c>
      <c r="BF79" s="158">
        <v>0.11</v>
      </c>
      <c r="BG79" s="6">
        <v>0.189</v>
      </c>
      <c r="BH79" s="6">
        <v>0.13800000000000001</v>
      </c>
      <c r="BJ79" s="216"/>
    </row>
    <row r="80" spans="1:62" x14ac:dyDescent="0.4">
      <c r="A80" s="47" t="s">
        <v>248</v>
      </c>
      <c r="B80" s="47" t="s">
        <v>249</v>
      </c>
      <c r="C80" s="62"/>
      <c r="D80" s="48"/>
      <c r="E80" s="48"/>
      <c r="F80" s="48"/>
      <c r="G80" s="48"/>
      <c r="H80" s="49">
        <v>59.902997982124994</v>
      </c>
      <c r="I80" s="48">
        <v>47.435530788262653</v>
      </c>
      <c r="J80" s="48">
        <v>47.724832737686313</v>
      </c>
      <c r="K80" s="48">
        <v>22.185600930466908</v>
      </c>
      <c r="L80" s="48">
        <v>23.208548473247003</v>
      </c>
      <c r="M80" s="49">
        <v>23.208548473247003</v>
      </c>
      <c r="N80" s="48">
        <v>13.841999999999999</v>
      </c>
      <c r="O80" s="48">
        <v>24.075999999999993</v>
      </c>
      <c r="P80" s="48">
        <v>34.671999999999997</v>
      </c>
      <c r="Q80" s="48">
        <v>33.038000000000025</v>
      </c>
      <c r="R80" s="49">
        <v>33.038000000000025</v>
      </c>
      <c r="S80" s="48">
        <v>27.262391760000014</v>
      </c>
      <c r="T80" s="48">
        <v>67.784000000000006</v>
      </c>
      <c r="U80" s="48">
        <v>96.567000000000007</v>
      </c>
      <c r="V80" s="48">
        <v>157.17799999999997</v>
      </c>
      <c r="W80" s="49">
        <v>157.17799999999997</v>
      </c>
      <c r="X80" s="48">
        <v>221.16399999999996</v>
      </c>
      <c r="Y80" s="48">
        <v>231.64499999999998</v>
      </c>
      <c r="Z80" s="48">
        <v>246.14099999999999</v>
      </c>
      <c r="AA80" s="48">
        <v>206.99600000000007</v>
      </c>
      <c r="AB80" s="49">
        <v>206.99600000000007</v>
      </c>
      <c r="AC80" s="48">
        <v>207.92400000000006</v>
      </c>
      <c r="AD80" s="48">
        <v>217.91899999999995</v>
      </c>
      <c r="AE80" s="48">
        <v>205.82099999999994</v>
      </c>
      <c r="AF80" s="48">
        <v>134.47199999999998</v>
      </c>
      <c r="AG80" s="49">
        <v>134.47199999999998</v>
      </c>
      <c r="AH80" s="48">
        <v>152.64900000000003</v>
      </c>
      <c r="AI80" s="48">
        <v>132.899</v>
      </c>
      <c r="AJ80" s="48">
        <v>143.96700000000001</v>
      </c>
      <c r="AK80" s="48">
        <v>121.21100000000001</v>
      </c>
      <c r="AL80" s="49">
        <v>121.21100000000001</v>
      </c>
      <c r="AM80" s="48">
        <v>60.845000000000006</v>
      </c>
      <c r="AN80" s="48">
        <v>12.365999999999996</v>
      </c>
      <c r="AO80" s="48">
        <v>2.60700000000001</v>
      </c>
      <c r="AP80" s="48">
        <v>6.1139999999999963</v>
      </c>
      <c r="AQ80" s="163">
        <v>6.1139999999999963</v>
      </c>
      <c r="AR80" s="48">
        <v>55.351999999999997</v>
      </c>
      <c r="AS80" s="48">
        <v>86.629000000000005</v>
      </c>
      <c r="AT80" s="48">
        <v>93.122</v>
      </c>
      <c r="AU80" s="48">
        <v>93.515000000000001</v>
      </c>
      <c r="AV80" s="163">
        <v>93.515000000000001</v>
      </c>
      <c r="AW80" s="48">
        <v>109.23899999999999</v>
      </c>
      <c r="AX80" s="48">
        <v>57.578999999999994</v>
      </c>
      <c r="AY80" s="48">
        <v>77.933000000000007</v>
      </c>
      <c r="AZ80" s="48">
        <v>78.589999999999989</v>
      </c>
      <c r="BA80" s="163">
        <v>78.589999999999989</v>
      </c>
      <c r="BB80" s="48">
        <v>84.155999999999977</v>
      </c>
      <c r="BC80" s="48">
        <v>106.4576771</v>
      </c>
      <c r="BD80" s="48">
        <v>111.25167709999997</v>
      </c>
      <c r="BE80" s="48">
        <v>111.77938658000001</v>
      </c>
      <c r="BF80" s="163">
        <v>111.77938658000001</v>
      </c>
      <c r="BG80" s="48">
        <v>121.89038658000001</v>
      </c>
      <c r="BH80" s="48">
        <v>123.94738658</v>
      </c>
      <c r="BJ80" s="216"/>
    </row>
    <row r="81" spans="1:62" ht="16.5" thickBot="1" x14ac:dyDescent="0.45">
      <c r="C81" s="21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F81" s="67"/>
      <c r="BJ81" s="216"/>
    </row>
    <row r="82" spans="1:62" ht="16.5" thickBot="1" x14ac:dyDescent="0.45">
      <c r="A82" s="1" t="s">
        <v>183</v>
      </c>
      <c r="B82" s="92" t="s">
        <v>183</v>
      </c>
      <c r="C82" s="2"/>
      <c r="D82" s="3" t="str">
        <f t="shared" ref="D82:AI82" si="29">D1</f>
        <v>1T15</v>
      </c>
      <c r="E82" s="3" t="str">
        <f t="shared" si="29"/>
        <v>2T15</v>
      </c>
      <c r="F82" s="3" t="str">
        <f t="shared" si="29"/>
        <v>3T15</v>
      </c>
      <c r="G82" s="3" t="str">
        <f t="shared" si="29"/>
        <v>4T15</v>
      </c>
      <c r="H82" s="4">
        <f t="shared" si="29"/>
        <v>2015</v>
      </c>
      <c r="I82" s="3" t="str">
        <f t="shared" si="29"/>
        <v>1T16</v>
      </c>
      <c r="J82" s="3" t="str">
        <f t="shared" si="29"/>
        <v>2T16</v>
      </c>
      <c r="K82" s="3" t="str">
        <f t="shared" si="29"/>
        <v>3T16</v>
      </c>
      <c r="L82" s="3" t="str">
        <f t="shared" si="29"/>
        <v>4T16</v>
      </c>
      <c r="M82" s="4">
        <f t="shared" si="29"/>
        <v>2016</v>
      </c>
      <c r="N82" s="3" t="str">
        <f t="shared" si="29"/>
        <v>1T17</v>
      </c>
      <c r="O82" s="3" t="str">
        <f t="shared" si="29"/>
        <v>2T17</v>
      </c>
      <c r="P82" s="3" t="str">
        <f t="shared" si="29"/>
        <v>3T17</v>
      </c>
      <c r="Q82" s="3" t="str">
        <f t="shared" si="29"/>
        <v>4T17</v>
      </c>
      <c r="R82" s="4">
        <f t="shared" si="29"/>
        <v>2017</v>
      </c>
      <c r="S82" s="3" t="str">
        <f t="shared" si="29"/>
        <v>1T18</v>
      </c>
      <c r="T82" s="3" t="str">
        <f t="shared" si="29"/>
        <v>2T18</v>
      </c>
      <c r="U82" s="3" t="str">
        <f t="shared" si="29"/>
        <v>3T18</v>
      </c>
      <c r="V82" s="3" t="str">
        <f t="shared" si="29"/>
        <v>4T18</v>
      </c>
      <c r="W82" s="4">
        <f t="shared" si="29"/>
        <v>2018</v>
      </c>
      <c r="X82" s="3" t="str">
        <f t="shared" si="29"/>
        <v>1T19</v>
      </c>
      <c r="Y82" s="3" t="str">
        <f t="shared" si="29"/>
        <v>2T19</v>
      </c>
      <c r="Z82" s="3" t="str">
        <f t="shared" si="29"/>
        <v>3T19</v>
      </c>
      <c r="AA82" s="3" t="str">
        <f t="shared" si="29"/>
        <v>4T19</v>
      </c>
      <c r="AB82" s="4">
        <f t="shared" si="29"/>
        <v>2019</v>
      </c>
      <c r="AC82" s="3" t="str">
        <f t="shared" si="29"/>
        <v>1T20</v>
      </c>
      <c r="AD82" s="3" t="str">
        <f t="shared" si="29"/>
        <v>2T20</v>
      </c>
      <c r="AE82" s="3" t="str">
        <f t="shared" si="29"/>
        <v>3T20</v>
      </c>
      <c r="AF82" s="3" t="str">
        <f t="shared" si="29"/>
        <v>4T20</v>
      </c>
      <c r="AG82" s="4">
        <f t="shared" si="29"/>
        <v>2020</v>
      </c>
      <c r="AH82" s="3" t="str">
        <f t="shared" si="29"/>
        <v>1T21</v>
      </c>
      <c r="AI82" s="3" t="str">
        <f t="shared" si="29"/>
        <v>2T21</v>
      </c>
      <c r="AJ82" s="3" t="str">
        <f t="shared" ref="AJ82:BB82" si="30">AJ1</f>
        <v>3T21</v>
      </c>
      <c r="AK82" s="3" t="str">
        <f t="shared" si="30"/>
        <v>4T21</v>
      </c>
      <c r="AL82" s="4">
        <f t="shared" si="30"/>
        <v>2021</v>
      </c>
      <c r="AM82" s="3" t="str">
        <f t="shared" si="30"/>
        <v>1T22</v>
      </c>
      <c r="AN82" s="3" t="str">
        <f t="shared" si="30"/>
        <v>2T22</v>
      </c>
      <c r="AO82" s="3" t="str">
        <f t="shared" si="30"/>
        <v>3T22</v>
      </c>
      <c r="AP82" s="3" t="str">
        <f t="shared" si="30"/>
        <v>4T22</v>
      </c>
      <c r="AQ82" s="4">
        <f t="shared" si="30"/>
        <v>2022</v>
      </c>
      <c r="AR82" s="3" t="str">
        <f t="shared" si="30"/>
        <v>1T23</v>
      </c>
      <c r="AS82" s="3" t="str">
        <f t="shared" si="30"/>
        <v>2T23</v>
      </c>
      <c r="AT82" s="3" t="str">
        <f t="shared" si="30"/>
        <v>3T23</v>
      </c>
      <c r="AU82" s="3" t="s">
        <v>37</v>
      </c>
      <c r="AV82" s="4">
        <v>2023</v>
      </c>
      <c r="AW82" s="3" t="str">
        <f t="shared" si="30"/>
        <v>1T24</v>
      </c>
      <c r="AX82" s="3" t="str">
        <f t="shared" si="30"/>
        <v>2T24</v>
      </c>
      <c r="AY82" s="3" t="str">
        <f t="shared" si="30"/>
        <v>3T24</v>
      </c>
      <c r="AZ82" s="3" t="str">
        <f t="shared" si="30"/>
        <v>4T24</v>
      </c>
      <c r="BA82" s="4">
        <f t="shared" si="30"/>
        <v>2024</v>
      </c>
      <c r="BB82" s="3" t="str">
        <f t="shared" si="30"/>
        <v>1T25</v>
      </c>
      <c r="BC82" s="3" t="s">
        <v>383</v>
      </c>
      <c r="BD82" s="3" t="s">
        <v>384</v>
      </c>
      <c r="BE82" s="3" t="s">
        <v>385</v>
      </c>
      <c r="BF82" s="4">
        <v>2025</v>
      </c>
      <c r="BG82" s="3" t="s">
        <v>386</v>
      </c>
      <c r="BH82" s="3" t="s">
        <v>387</v>
      </c>
      <c r="BJ82" s="216"/>
    </row>
    <row r="83" spans="1:62" x14ac:dyDescent="0.4">
      <c r="A83" s="5" t="s">
        <v>184</v>
      </c>
      <c r="B83" s="5" t="s">
        <v>250</v>
      </c>
      <c r="C83" s="5"/>
      <c r="D83" s="6"/>
      <c r="E83" s="6"/>
      <c r="F83" s="6"/>
      <c r="G83" s="6"/>
      <c r="H83" s="7">
        <f>H28</f>
        <v>25.827999999999999</v>
      </c>
      <c r="I83" s="127">
        <f>I28+G28+F28+E28</f>
        <v>22.636000000000003</v>
      </c>
      <c r="J83" s="6">
        <f>J28+I28+G28+F28</f>
        <v>13.248999999999999</v>
      </c>
      <c r="K83" s="6">
        <f>K28+J28+I28+G28</f>
        <v>7.7970000000000006</v>
      </c>
      <c r="L83" s="6">
        <f>L28+K28+J28+I28</f>
        <v>19.823</v>
      </c>
      <c r="M83" s="7">
        <f>M28</f>
        <v>19.823</v>
      </c>
      <c r="N83" s="127">
        <f>N28+L28+K28+J28</f>
        <v>23.006999999999998</v>
      </c>
      <c r="O83" s="6">
        <f>O28+N28+L28+K28</f>
        <v>29.34</v>
      </c>
      <c r="P83" s="6">
        <f>P28+O28+N28+L28</f>
        <v>32.978999999999999</v>
      </c>
      <c r="Q83" s="6">
        <f>Q28+P28+O28+N28</f>
        <v>28.279</v>
      </c>
      <c r="R83" s="7">
        <f>R28</f>
        <v>28.279</v>
      </c>
      <c r="S83" s="127">
        <f>S28+Q28+P28+O28</f>
        <v>25.783999999999999</v>
      </c>
      <c r="T83" s="6">
        <f>T28+S28+Q28+P28</f>
        <v>28.492999999999995</v>
      </c>
      <c r="U83" s="6">
        <f>U28+T28+S28+Q28</f>
        <v>27.55</v>
      </c>
      <c r="V83" s="6">
        <f>V28+U28+T28+S28</f>
        <v>25.773</v>
      </c>
      <c r="W83" s="7">
        <f>W28</f>
        <v>25.773</v>
      </c>
      <c r="X83" s="127">
        <f>X28+V28+U28+T28</f>
        <v>27.466999999999999</v>
      </c>
      <c r="Y83" s="6">
        <f>Y28+X28+V28+U28</f>
        <v>26.569000000000003</v>
      </c>
      <c r="Z83" s="6">
        <f>Z28+Y28+X28+V28</f>
        <v>26.963000000000001</v>
      </c>
      <c r="AA83" s="6">
        <f>AA28+Z28+Y28+X28</f>
        <v>22.11</v>
      </c>
      <c r="AB83" s="7">
        <f>AB28</f>
        <v>22.11</v>
      </c>
      <c r="AC83" s="127">
        <f>AC28+AA28+Z28+Y28</f>
        <v>16.634999999999998</v>
      </c>
      <c r="AD83" s="6">
        <f>AD28+AC28+AA28+Z28</f>
        <v>15.008999999999999</v>
      </c>
      <c r="AE83" s="6">
        <f>AE28+AD28+AC28+AA28</f>
        <v>10.268999999999998</v>
      </c>
      <c r="AF83" s="6">
        <f>AF28+AE28+AD28+AC28</f>
        <v>13.882999999999999</v>
      </c>
      <c r="AG83" s="7">
        <f>AG28</f>
        <v>13.882999999999999</v>
      </c>
      <c r="AH83" s="127">
        <f>AH28+AF28+AE28+AD28</f>
        <v>12.138999999999999</v>
      </c>
      <c r="AI83" s="6">
        <f>AI28+AH28+AF28+AE28</f>
        <v>8.0019999999999989</v>
      </c>
      <c r="AJ83" s="6">
        <f>AJ28+AI28+AH28+AF28</f>
        <v>-8.7920000000000016</v>
      </c>
      <c r="AK83" s="6">
        <f>AK28+AJ28+AI28+AH28</f>
        <v>-20.132999999999999</v>
      </c>
      <c r="AL83" s="7">
        <f>AL28</f>
        <v>-20.132999999999999</v>
      </c>
      <c r="AM83" s="127">
        <f>AM28+AK28+AJ28+AI28</f>
        <v>-3.5239999999999991</v>
      </c>
      <c r="AN83" s="6">
        <f>AN28+AM28+AK28+AJ28</f>
        <v>2.6130000000000031</v>
      </c>
      <c r="AO83" s="6">
        <f>AO28+AN28+AM28+AK28</f>
        <v>17.542000000000002</v>
      </c>
      <c r="AP83" s="6">
        <f>AP28+AO28+AN28+AM28</f>
        <v>28.260999999999999</v>
      </c>
      <c r="AQ83" s="7">
        <f>AQ28</f>
        <v>28.260999999999999</v>
      </c>
      <c r="AR83" s="6">
        <f>AR28+AP28+AO28+AN28</f>
        <v>31.204000000000004</v>
      </c>
      <c r="AS83" s="6">
        <f>AS28+AR28+AP28+AO28</f>
        <v>21.012999999999998</v>
      </c>
      <c r="AT83" s="6">
        <f>AT28+AS28+AR28+AP28</f>
        <v>11.971</v>
      </c>
      <c r="AU83" s="6">
        <v>11.910000000000004</v>
      </c>
      <c r="AV83" s="7">
        <v>11.91</v>
      </c>
      <c r="AW83" s="6">
        <f>AW28+AU28+AT28+AS28</f>
        <v>-8.2140000000000022</v>
      </c>
      <c r="AX83" s="6">
        <f>AX28+AW28+AU28+AT28</f>
        <v>-10.974999999999996</v>
      </c>
      <c r="AY83" s="6">
        <f>AY28+AX28+AW28+AU28</f>
        <v>-3.7370000000000001</v>
      </c>
      <c r="AZ83" s="6">
        <f>AZ28+AY28+AX28+AW28</f>
        <v>-10.936999999999999</v>
      </c>
      <c r="BA83" s="7">
        <f>BA28</f>
        <v>-10.936999999999999</v>
      </c>
      <c r="BB83" s="6">
        <f>BB28+AZ28+AY28+AX28</f>
        <v>-11.969999999999999</v>
      </c>
      <c r="BC83" s="6">
        <f>BC28+BB28+AZ28+AY28</f>
        <v>-9.6979925900000357</v>
      </c>
      <c r="BD83" s="6">
        <f>BD28+BC28+BB28+AZ28</f>
        <v>-9.5329925900000347</v>
      </c>
      <c r="BE83" s="6">
        <v>-8.7209925900000371</v>
      </c>
      <c r="BF83" s="158">
        <v>-8.7220000000000049</v>
      </c>
      <c r="BG83" s="6">
        <v>-11.472992590000036</v>
      </c>
      <c r="BH83" s="6">
        <v>-10.867999999999999</v>
      </c>
      <c r="BJ83" s="216"/>
    </row>
    <row r="84" spans="1:62" x14ac:dyDescent="0.4">
      <c r="A84" s="5" t="s">
        <v>251</v>
      </c>
      <c r="B84" s="5" t="s">
        <v>187</v>
      </c>
      <c r="C84" s="5"/>
      <c r="D84" s="6"/>
      <c r="E84" s="6"/>
      <c r="F84" s="6"/>
      <c r="G84" s="6"/>
      <c r="H84" s="7">
        <f>I84</f>
        <v>155.5</v>
      </c>
      <c r="I84" s="6">
        <v>155.5</v>
      </c>
      <c r="J84" s="6">
        <v>149.30000000000001</v>
      </c>
      <c r="K84" s="6">
        <v>155.30000000000001</v>
      </c>
      <c r="L84" s="6">
        <v>162.30000000000001</v>
      </c>
      <c r="M84" s="7">
        <v>162.30000000000001</v>
      </c>
      <c r="N84" s="6">
        <v>155.5</v>
      </c>
      <c r="O84" s="6">
        <v>149.30000000000001</v>
      </c>
      <c r="P84" s="6">
        <v>155.30000000000001</v>
      </c>
      <c r="Q84" s="6">
        <v>162.30000000000001</v>
      </c>
      <c r="R84" s="7">
        <v>162.30000000000001</v>
      </c>
      <c r="S84" s="6">
        <v>164</v>
      </c>
      <c r="T84" s="6">
        <v>159.4</v>
      </c>
      <c r="U84" s="6">
        <v>164.5</v>
      </c>
      <c r="V84" s="6">
        <v>251.5</v>
      </c>
      <c r="W84" s="7">
        <v>251.5</v>
      </c>
      <c r="X84" s="6">
        <v>251.1</v>
      </c>
      <c r="Y84" s="6">
        <v>262.89999999999998</v>
      </c>
      <c r="Z84" s="6">
        <v>264.2</v>
      </c>
      <c r="AA84" s="6">
        <v>303.10000000000002</v>
      </c>
      <c r="AB84" s="7">
        <v>303.10000000000002</v>
      </c>
      <c r="AC84" s="6">
        <v>326.10000000000002</v>
      </c>
      <c r="AD84" s="6">
        <v>324.3</v>
      </c>
      <c r="AE84" s="6">
        <v>323.8</v>
      </c>
      <c r="AF84" s="6">
        <v>268.5</v>
      </c>
      <c r="AG84" s="7">
        <v>268.5</v>
      </c>
      <c r="AH84" s="6">
        <v>265.3</v>
      </c>
      <c r="AI84" s="6">
        <v>262.5</v>
      </c>
      <c r="AJ84" s="6">
        <v>250.6</v>
      </c>
      <c r="AK84" s="6">
        <f>218.6</f>
        <v>218.6</v>
      </c>
      <c r="AL84" s="7">
        <v>218.6</v>
      </c>
      <c r="AM84" s="6">
        <v>228.3</v>
      </c>
      <c r="AN84" s="6">
        <v>228.2</v>
      </c>
      <c r="AO84" s="6">
        <v>226.5</v>
      </c>
      <c r="AP84" s="6">
        <v>222.6</v>
      </c>
      <c r="AQ84" s="7">
        <v>222.6</v>
      </c>
      <c r="AR84" s="6">
        <v>270.60000000000002</v>
      </c>
      <c r="AS84" s="6">
        <v>234.15000000000003</v>
      </c>
      <c r="AT84" s="6">
        <v>228.107</v>
      </c>
      <c r="AU84" s="6">
        <v>227.7</v>
      </c>
      <c r="AV84" s="7">
        <v>227.7</v>
      </c>
      <c r="AW84" s="6">
        <v>229.6</v>
      </c>
      <c r="AX84" s="6">
        <v>212.041</v>
      </c>
      <c r="AY84" s="6">
        <v>200.92599999999999</v>
      </c>
      <c r="AZ84" s="6">
        <v>192.6</v>
      </c>
      <c r="BA84" s="158">
        <f>AZ84</f>
        <v>192.6</v>
      </c>
      <c r="BB84" s="6">
        <v>188.083</v>
      </c>
      <c r="BC84" s="6">
        <v>177.9</v>
      </c>
      <c r="BD84" s="6">
        <v>174.30199999999999</v>
      </c>
      <c r="BE84" s="6">
        <v>171.95599999999999</v>
      </c>
      <c r="BF84" s="158">
        <v>171.95599999999999</v>
      </c>
      <c r="BG84" s="6">
        <v>163.798</v>
      </c>
      <c r="BH84" s="6">
        <v>154.88499999999999</v>
      </c>
      <c r="BJ84" s="216"/>
    </row>
    <row r="85" spans="1:62" x14ac:dyDescent="0.4">
      <c r="A85" s="9" t="s">
        <v>188</v>
      </c>
      <c r="B85" s="9" t="s">
        <v>189</v>
      </c>
      <c r="C85" s="9"/>
      <c r="D85" s="6"/>
      <c r="E85" s="6"/>
      <c r="F85" s="6"/>
      <c r="G85" s="6"/>
      <c r="H85" s="7">
        <f>H84</f>
        <v>155.5</v>
      </c>
      <c r="I85" s="6">
        <f>AVERAGE(D84,E84,F84,H84,I84)</f>
        <v>155.5</v>
      </c>
      <c r="J85" s="6">
        <f>AVERAGE(E84,F84,H84,I84,J84)</f>
        <v>153.43333333333334</v>
      </c>
      <c r="K85" s="6">
        <f>AVERAGE(F84,H84,I84,J84,K84)</f>
        <v>153.9</v>
      </c>
      <c r="L85" s="6">
        <f>AVERAGE(H84,I84,J84,K84,L84)</f>
        <v>155.58000000000001</v>
      </c>
      <c r="M85" s="7">
        <f>AVERAGE(H84:L84)</f>
        <v>155.58000000000001</v>
      </c>
      <c r="N85" s="6">
        <f>AVERAGE(I84,J84,K84,L84,N84)</f>
        <v>155.58000000000001</v>
      </c>
      <c r="O85" s="6">
        <f>AVERAGE(J84,K84,L84,N84,O84)</f>
        <v>154.34</v>
      </c>
      <c r="P85" s="6">
        <f>AVERAGE(K84,L84,N84,O84,P84)</f>
        <v>155.54000000000002</v>
      </c>
      <c r="Q85" s="6">
        <f>AVERAGE(L84,N84,O84,P84,Q84)</f>
        <v>156.94</v>
      </c>
      <c r="R85" s="7">
        <f>AVERAGE(M84:Q84)</f>
        <v>156.94</v>
      </c>
      <c r="S85" s="6">
        <f>AVERAGE(N84,O84,P84,Q84,S84)</f>
        <v>157.28000000000003</v>
      </c>
      <c r="T85" s="6">
        <f>AVERAGE(O84,P84,Q84,S84,T84)</f>
        <v>158.06</v>
      </c>
      <c r="U85" s="6">
        <f>AVERAGE(P84,Q84,S84,T84,U84)</f>
        <v>161.1</v>
      </c>
      <c r="V85" s="6">
        <f>AVERAGE(Q84,S84,T84,U84,V84)</f>
        <v>180.34</v>
      </c>
      <c r="W85" s="7">
        <f>AVERAGE(R84:V84)</f>
        <v>180.34</v>
      </c>
      <c r="X85" s="6">
        <f>AVERAGE(S84,T84,U84,V84,X84)</f>
        <v>198.1</v>
      </c>
      <c r="Y85" s="6">
        <f>AVERAGE(T84,U84,V84,X84,Y84)</f>
        <v>217.88000000000002</v>
      </c>
      <c r="Z85" s="6">
        <f>AVERAGE(U84,V84,X84,Y84,Z84)</f>
        <v>238.84</v>
      </c>
      <c r="AA85" s="6">
        <f>AVERAGE(V84,X84,Y84,Z84,AA84)</f>
        <v>266.56000000000006</v>
      </c>
      <c r="AB85" s="7">
        <f>AVERAGE(W84:AA84)</f>
        <v>266.56000000000006</v>
      </c>
      <c r="AC85" s="6">
        <f>AVERAGE(X84,Y84,Z84,AA84,AC84)</f>
        <v>281.48</v>
      </c>
      <c r="AD85" s="6">
        <f>AVERAGE(Y84,Z84,AA84,AC84,AD84)</f>
        <v>296.12</v>
      </c>
      <c r="AE85" s="6">
        <f>AVERAGE(Z84,AA84,AC84,AD84,AE84)</f>
        <v>308.3</v>
      </c>
      <c r="AF85" s="6">
        <f>AVERAGE(AA84,AC84,AD84,AE84,AF84)</f>
        <v>309.15999999999997</v>
      </c>
      <c r="AG85" s="7">
        <f>AVERAGE(AB84:AF84)</f>
        <v>309.15999999999997</v>
      </c>
      <c r="AH85" s="6">
        <f>AVERAGE(AC84,AD84,AE84,AF84,AH84)</f>
        <v>301.60000000000002</v>
      </c>
      <c r="AI85" s="6">
        <f>AVERAGE(AD84,AE84,AF84,AH84,AI84)</f>
        <v>288.88</v>
      </c>
      <c r="AJ85" s="6">
        <f>AVERAGE(AE84,AF84,AH84,AI84,AJ84)</f>
        <v>274.14</v>
      </c>
      <c r="AK85" s="6">
        <f>AVERAGE(AF84,AH84,AI84,AJ84,AK84)</f>
        <v>253.09999999999997</v>
      </c>
      <c r="AL85" s="7">
        <f>AVERAGE(AG84:AK84)</f>
        <v>253.09999999999997</v>
      </c>
      <c r="AM85" s="6">
        <f>AVERAGE(AH84,AI84,AJ84,AK84,AM84)</f>
        <v>245.06</v>
      </c>
      <c r="AN85" s="6">
        <f>AVERAGE(AI84,AJ84,AK84,AM84,AN84)</f>
        <v>237.64000000000001</v>
      </c>
      <c r="AO85" s="6">
        <f>AVERAGE(AJ84,AK84,AM84,AN84,AO84)</f>
        <v>230.44</v>
      </c>
      <c r="AP85" s="6">
        <f>AVERAGE(AK84,AM84,AN84,AO84,AP84)</f>
        <v>224.83999999999997</v>
      </c>
      <c r="AQ85" s="7">
        <f>AVERAGE(AL84:AP84)</f>
        <v>224.83999999999997</v>
      </c>
      <c r="AR85" s="6">
        <f>AVERAGE(AM84,AN84,AO84,AP84,AR84)</f>
        <v>235.24</v>
      </c>
      <c r="AS85" s="6">
        <f>AVERAGE(AN84,AO84,AP84,AR84,AS84)</f>
        <v>236.41</v>
      </c>
      <c r="AT85" s="6">
        <f>AVERAGE(AO84,AP84,AR84,AS84,AT84)</f>
        <v>236.39140000000003</v>
      </c>
      <c r="AU85" s="6">
        <v>236.63140000000004</v>
      </c>
      <c r="AV85" s="7">
        <v>236.63140000000004</v>
      </c>
      <c r="AW85" s="6">
        <f>AVERAGE(AR84,AS84,AT84,AU84,AW84)</f>
        <v>238.03139999999999</v>
      </c>
      <c r="AX85" s="6">
        <f>AVERAGE(AS84,AT84,AU84,AW84,AX84)</f>
        <v>226.31960000000004</v>
      </c>
      <c r="AY85" s="6">
        <f>AVERAGE(AT84,AU84,AW84,AX84,AY84)</f>
        <v>219.6748</v>
      </c>
      <c r="AZ85" s="6">
        <f>AVERAGE(AU84,AW84,AX84,AY84,AZ84)</f>
        <v>212.57339999999994</v>
      </c>
      <c r="BA85" s="7">
        <f>AVERAGE(AV84:AZ84)</f>
        <v>212.57339999999994</v>
      </c>
      <c r="BB85" s="6">
        <v>198.41249999999999</v>
      </c>
      <c r="BC85" s="6">
        <v>189.87724999999998</v>
      </c>
      <c r="BD85" s="6">
        <v>183.22125</v>
      </c>
      <c r="BE85" s="6">
        <v>178.06025</v>
      </c>
      <c r="BF85" s="158">
        <v>178.06025</v>
      </c>
      <c r="BG85" s="6">
        <v>171.989</v>
      </c>
      <c r="BH85" s="6">
        <v>166.23525000000001</v>
      </c>
      <c r="BJ85" s="216"/>
    </row>
    <row r="86" spans="1:62" ht="16.5" thickBot="1" x14ac:dyDescent="0.45">
      <c r="A86" s="82" t="s">
        <v>190</v>
      </c>
      <c r="B86" s="82" t="s">
        <v>191</v>
      </c>
      <c r="D86" s="6"/>
      <c r="E86" s="6"/>
      <c r="F86" s="6"/>
      <c r="G86" s="6"/>
      <c r="H86" s="7">
        <f>H80</f>
        <v>59.902997982124994</v>
      </c>
      <c r="I86" s="6">
        <f>AVERAGE(D80,E80,F80,H80,I80)</f>
        <v>53.669264385193827</v>
      </c>
      <c r="J86" s="6">
        <f>AVERAGE(E80,F80,G80,I80,J80)</f>
        <v>47.580181762974483</v>
      </c>
      <c r="K86" s="6">
        <f>AVERAGE(F80,G80,I80,J80,K80)</f>
        <v>39.115321485471959</v>
      </c>
      <c r="L86" s="6">
        <f>AVERAGE(G80,I80,J80,K80,L80)</f>
        <v>35.138628232415719</v>
      </c>
      <c r="M86" s="7">
        <f>AVERAGE(H80:L80)</f>
        <v>40.091502182357573</v>
      </c>
      <c r="N86" s="6">
        <f>AVERAGE(I80,J80,K80,L80,N80)</f>
        <v>30.879302585932578</v>
      </c>
      <c r="O86" s="6">
        <f>AVERAGE(J80,K80,L80,N80,O80)</f>
        <v>26.207396428280042</v>
      </c>
      <c r="P86" s="6">
        <f>AVERAGE(K80,L80,N80,O80,P80)</f>
        <v>23.596829880742781</v>
      </c>
      <c r="Q86" s="6">
        <f>AVERAGE(L80,N80,O80,P80,Q80)</f>
        <v>25.767309694649406</v>
      </c>
      <c r="R86" s="7">
        <f>AVERAGE(M80:Q80)</f>
        <v>25.767309694649406</v>
      </c>
      <c r="S86" s="6">
        <f>AVERAGE(N80,O80,P80,Q80,S80)</f>
        <v>26.578078352000006</v>
      </c>
      <c r="T86" s="6">
        <f>AVERAGE(O80,P80,Q80,S80,T80)</f>
        <v>37.366478352000009</v>
      </c>
      <c r="U86" s="6">
        <f>AVERAGE(P80,Q80,S80,T80,U80)</f>
        <v>51.864678352000013</v>
      </c>
      <c r="V86" s="6">
        <f>AVERAGE(Q80,S80,T80,U80,V80)</f>
        <v>76.36587835200001</v>
      </c>
      <c r="W86" s="7">
        <f>AVERAGE(R80:V80)</f>
        <v>76.36587835200001</v>
      </c>
      <c r="X86" s="6">
        <f>AVERAGE(S80,T80,U80,V80,X80)</f>
        <v>113.991078352</v>
      </c>
      <c r="Y86" s="6">
        <f>AVERAGE(T80,U80,V80,X80,Y80)</f>
        <v>154.86759999999998</v>
      </c>
      <c r="Z86" s="6">
        <f>AVERAGE(U80,V80,X80,Y80,Z80)</f>
        <v>190.53899999999996</v>
      </c>
      <c r="AA86" s="6">
        <f>AVERAGE(V80,X80,Y80,Z80,AA80)</f>
        <v>212.62479999999996</v>
      </c>
      <c r="AB86" s="7">
        <f>AVERAGE(W80:AA80)</f>
        <v>212.62479999999996</v>
      </c>
      <c r="AC86" s="6">
        <f>AVERAGE(X80,Y80,Z80,AA80,AC80)</f>
        <v>222.77400000000003</v>
      </c>
      <c r="AD86" s="6">
        <f>AVERAGE(Y80,Z80,AA80,AC80,AD80)</f>
        <v>222.125</v>
      </c>
      <c r="AE86" s="6">
        <f>AVERAGE(Z80,AA80,AC80,AD80,AE80)</f>
        <v>216.96020000000004</v>
      </c>
      <c r="AF86" s="6">
        <f>AVERAGE(AA80,AC80,AD80,AE80,AF80)</f>
        <v>194.62639999999999</v>
      </c>
      <c r="AG86" s="7">
        <f>AVERAGE(AB80:AF80)</f>
        <v>194.62639999999999</v>
      </c>
      <c r="AH86" s="6">
        <f>AVERAGE(AC80,AD80,AE80,AF80,AH80)</f>
        <v>183.75700000000001</v>
      </c>
      <c r="AI86" s="6">
        <f>AVERAGE(AD80,AE80,AF80,AH80,AI80)</f>
        <v>168.75199999999998</v>
      </c>
      <c r="AJ86" s="6">
        <f>AVERAGE(AE80,AF80,AH80,AI80,AJ80)</f>
        <v>153.96159999999998</v>
      </c>
      <c r="AK86" s="6">
        <f>AVERAGE(AF80,AH80,AI80,AJ80,AK80)</f>
        <v>137.03960000000001</v>
      </c>
      <c r="AL86" s="7">
        <f>AVERAGE(AG80:AK80)</f>
        <v>137.03960000000001</v>
      </c>
      <c r="AM86" s="6">
        <f>AVERAGE(AH80,AI80,AJ80,AK80,AM80)</f>
        <v>122.3142</v>
      </c>
      <c r="AN86" s="6">
        <f>AVERAGE(AI80,AJ80,AK80,AM80,AN80)</f>
        <v>94.257599999999996</v>
      </c>
      <c r="AO86" s="6">
        <f>AVERAGE(AJ80,AK80,AM80,AN80,AO80)</f>
        <v>68.199200000000005</v>
      </c>
      <c r="AP86" s="6">
        <f>AVERAGE(AK80,AM80,AN80,AO80,AP80)</f>
        <v>40.628599999999999</v>
      </c>
      <c r="AQ86" s="7">
        <f>AVERAGE(AL80:AP80)</f>
        <v>40.628599999999999</v>
      </c>
      <c r="AR86" s="6">
        <f>AVERAGE(AM80,AN80,AO80,AP80,AR80)</f>
        <v>27.456799999999998</v>
      </c>
      <c r="AS86" s="6">
        <f>AVERAGE(AN80,AO80,AP80,AR80,AS80)</f>
        <v>32.613599999999998</v>
      </c>
      <c r="AT86" s="6">
        <f>AVERAGE(AO80,AP80,AR80,AS80,AT80)</f>
        <v>48.764800000000001</v>
      </c>
      <c r="AU86" s="6">
        <v>66.946399999999997</v>
      </c>
      <c r="AV86" s="7">
        <v>66.946399999999997</v>
      </c>
      <c r="AW86" s="6">
        <f>AVERAGE(AR80,AS80,AT80,AU80,AW80)</f>
        <v>87.571399999999997</v>
      </c>
      <c r="AX86" s="6">
        <f>AVERAGE(AS80,AT80,AU80,AW80,AX80)</f>
        <v>88.016800000000003</v>
      </c>
      <c r="AY86" s="6">
        <f>AVERAGE(AT80,AU80,AW80,AX80,AY80)</f>
        <v>86.277599999999993</v>
      </c>
      <c r="AZ86" s="6">
        <f>AVERAGE(AU80,AW80,AX80,AY80,AZ80)</f>
        <v>83.371199999999988</v>
      </c>
      <c r="BA86" s="7">
        <f>AZ86</f>
        <v>83.371199999999988</v>
      </c>
      <c r="BB86" s="6">
        <v>74.564499999999981</v>
      </c>
      <c r="BC86" s="6">
        <v>86.784169274999996</v>
      </c>
      <c r="BD86" s="6">
        <v>95.113838549999997</v>
      </c>
      <c r="BE86" s="6">
        <v>103.41118519499999</v>
      </c>
      <c r="BF86" s="158">
        <v>103.41118519499999</v>
      </c>
      <c r="BG86" s="6">
        <v>112.84478184</v>
      </c>
      <c r="BH86" s="6">
        <v>117.21720921000001</v>
      </c>
      <c r="BJ86" s="216"/>
    </row>
    <row r="87" spans="1:62" x14ac:dyDescent="0.4">
      <c r="A87" s="128" t="s">
        <v>192</v>
      </c>
      <c r="B87" s="128" t="s">
        <v>183</v>
      </c>
      <c r="C87" s="21"/>
      <c r="D87" s="129"/>
      <c r="E87" s="129"/>
      <c r="F87" s="129"/>
      <c r="G87" s="129"/>
      <c r="H87" s="130">
        <f t="shared" ref="H87:AT87" si="31">H83/(H85+H86)</f>
        <v>0.11990548061983479</v>
      </c>
      <c r="I87" s="131">
        <f t="shared" si="31"/>
        <v>0.10821857631202869</v>
      </c>
      <c r="J87" s="131">
        <f t="shared" si="31"/>
        <v>6.5910991077650943E-2</v>
      </c>
      <c r="K87" s="131">
        <f t="shared" si="31"/>
        <v>4.0395756875636797E-2</v>
      </c>
      <c r="L87" s="131">
        <f t="shared" si="31"/>
        <v>0.103938457316519</v>
      </c>
      <c r="M87" s="130">
        <f t="shared" si="31"/>
        <v>0.10130754749113031</v>
      </c>
      <c r="N87" s="131">
        <f t="shared" si="31"/>
        <v>0.12338885580351709</v>
      </c>
      <c r="O87" s="131">
        <f t="shared" si="31"/>
        <v>0.16250580501533241</v>
      </c>
      <c r="P87" s="131">
        <f t="shared" si="31"/>
        <v>0.18409949546363633</v>
      </c>
      <c r="Q87" s="131">
        <f t="shared" si="31"/>
        <v>0.15477760603700769</v>
      </c>
      <c r="R87" s="130">
        <f t="shared" si="31"/>
        <v>0.15477760603700769</v>
      </c>
      <c r="S87" s="131">
        <f t="shared" si="31"/>
        <v>0.14023860268264093</v>
      </c>
      <c r="T87" s="131">
        <f t="shared" si="31"/>
        <v>0.14579907615527268</v>
      </c>
      <c r="U87" s="131">
        <f t="shared" si="31"/>
        <v>0.12936417537965525</v>
      </c>
      <c r="V87" s="131">
        <f t="shared" si="31"/>
        <v>0.10039894748596122</v>
      </c>
      <c r="W87" s="130">
        <f t="shared" si="31"/>
        <v>0.10039894748596122</v>
      </c>
      <c r="X87" s="131">
        <f t="shared" si="31"/>
        <v>8.8009564852157135E-2</v>
      </c>
      <c r="Y87" s="131">
        <f t="shared" si="31"/>
        <v>7.1278795624706903E-2</v>
      </c>
      <c r="Z87" s="131">
        <f t="shared" si="31"/>
        <v>6.2795339315616275E-2</v>
      </c>
      <c r="AA87" s="131">
        <f t="shared" si="31"/>
        <v>4.6140862564922759E-2</v>
      </c>
      <c r="AB87" s="130">
        <f t="shared" si="31"/>
        <v>4.6140862564922759E-2</v>
      </c>
      <c r="AC87" s="131">
        <f t="shared" si="31"/>
        <v>3.2989326807521598E-2</v>
      </c>
      <c r="AD87" s="131">
        <f t="shared" si="31"/>
        <v>2.8961205607386464E-2</v>
      </c>
      <c r="AE87" s="131">
        <f t="shared" si="31"/>
        <v>1.9550310493732435E-2</v>
      </c>
      <c r="AF87" s="131">
        <f t="shared" si="31"/>
        <v>2.7557313972747181E-2</v>
      </c>
      <c r="AG87" s="130">
        <f t="shared" si="31"/>
        <v>2.7557313972747181E-2</v>
      </c>
      <c r="AH87" s="131">
        <f t="shared" si="31"/>
        <v>2.5010456220884832E-2</v>
      </c>
      <c r="AI87" s="131">
        <f t="shared" si="31"/>
        <v>1.7485665338088246E-2</v>
      </c>
      <c r="AJ87" s="131">
        <f t="shared" si="31"/>
        <v>-2.0537180893507527E-2</v>
      </c>
      <c r="AK87" s="131">
        <f t="shared" si="31"/>
        <v>-5.1604605120833674E-2</v>
      </c>
      <c r="AL87" s="130">
        <f>AL83/(AL85+AL86)</f>
        <v>-5.1604605120833674E-2</v>
      </c>
      <c r="AM87" s="131">
        <f t="shared" si="31"/>
        <v>-9.5923992485046558E-3</v>
      </c>
      <c r="AN87" s="131">
        <f t="shared" si="31"/>
        <v>7.8729101988083156E-3</v>
      </c>
      <c r="AO87" s="131">
        <f t="shared" si="31"/>
        <v>5.8739776961631296E-2</v>
      </c>
      <c r="AP87" s="131">
        <f t="shared" si="31"/>
        <v>0.10645703484329221</v>
      </c>
      <c r="AQ87" s="130">
        <f t="shared" si="31"/>
        <v>0.10645703484329221</v>
      </c>
      <c r="AR87" s="131">
        <f t="shared" si="31"/>
        <v>0.11878332739492832</v>
      </c>
      <c r="AS87" s="131">
        <f t="shared" si="31"/>
        <v>7.8108389003789996E-2</v>
      </c>
      <c r="AT87" s="131">
        <f t="shared" si="31"/>
        <v>4.19805005116494E-2</v>
      </c>
      <c r="AU87" s="131">
        <v>3.9232117763551892E-2</v>
      </c>
      <c r="AV87" s="130">
        <v>3.9232117763551878E-2</v>
      </c>
      <c r="AW87" s="131">
        <f>AW83/(AW85+AW86)</f>
        <v>-2.5227055786989552E-2</v>
      </c>
      <c r="AX87" s="131">
        <f>AX83/(AX85+AX86)</f>
        <v>-3.4914823736608279E-2</v>
      </c>
      <c r="AY87" s="131">
        <f>AY83/(AY85+AY86)</f>
        <v>-1.2214318305723374E-2</v>
      </c>
      <c r="AZ87" s="131">
        <f>AZ83/(AZ85+AZ86)</f>
        <v>-3.6956241134320417E-2</v>
      </c>
      <c r="BA87" s="130">
        <f t="shared" ref="BA87" si="32">BA83/(BA85+BA86)</f>
        <v>-3.6956241134320417E-2</v>
      </c>
      <c r="BB87" s="131">
        <v>-4.3849848155705425E-2</v>
      </c>
      <c r="BC87" s="131">
        <v>-3.5053650109270508E-2</v>
      </c>
      <c r="BD87" s="131">
        <v>-3.4250056791842579E-2</v>
      </c>
      <c r="BE87" s="131">
        <v>-3.0983579502332947E-2</v>
      </c>
      <c r="BF87" s="183">
        <v>-3.0987158586651999E-2</v>
      </c>
      <c r="BG87" s="131">
        <v>-4.0279606287869224E-2</v>
      </c>
      <c r="BH87" s="131">
        <v>-3.834152658364582E-2</v>
      </c>
      <c r="BJ87" s="216"/>
    </row>
    <row r="88" spans="1:62" x14ac:dyDescent="0.4"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</row>
    <row r="89" spans="1:62" x14ac:dyDescent="0.4">
      <c r="C89" s="21"/>
      <c r="D89" s="17"/>
      <c r="E89" s="17"/>
      <c r="F89" s="17"/>
      <c r="G89" s="17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55"/>
      <c r="X89" s="155"/>
      <c r="Y89" s="155"/>
      <c r="Z89" s="155"/>
      <c r="AA89" s="155"/>
      <c r="AB89" s="155"/>
      <c r="AC89" s="155"/>
      <c r="AD89" s="155"/>
      <c r="AE89" s="155"/>
      <c r="AF89" s="155"/>
      <c r="AG89" s="155"/>
      <c r="AH89" s="155"/>
      <c r="AI89" s="155"/>
      <c r="AJ89" s="155"/>
      <c r="AK89" s="155"/>
      <c r="AL89" s="155"/>
      <c r="AM89" s="155"/>
      <c r="AN89" s="155"/>
      <c r="AO89" s="155"/>
      <c r="AP89" s="155"/>
      <c r="AQ89" s="155"/>
      <c r="AR89" s="155"/>
      <c r="AS89" s="155"/>
      <c r="AT89" s="155"/>
      <c r="AU89" s="155"/>
      <c r="AV89" s="155"/>
      <c r="AW89" s="155"/>
      <c r="AX89" s="155"/>
      <c r="AY89" s="155"/>
      <c r="AZ89" s="155"/>
      <c r="BA89" s="155"/>
      <c r="BB89" s="155"/>
      <c r="BC89" s="155"/>
      <c r="BD89" s="155"/>
      <c r="BE89" s="155"/>
      <c r="BF89" s="155"/>
      <c r="BG89" s="155"/>
      <c r="BH89" s="155"/>
    </row>
    <row r="90" spans="1:62" x14ac:dyDescent="0.4">
      <c r="D90" s="2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R90" s="17"/>
      <c r="AS90" s="17"/>
      <c r="AT90" s="17"/>
      <c r="AU90" s="17"/>
      <c r="AW90" s="17"/>
      <c r="AX90" s="17"/>
      <c r="AY90" s="17"/>
      <c r="AZ90" s="17"/>
      <c r="BB90" s="17"/>
    </row>
    <row r="91" spans="1:62" x14ac:dyDescent="0.4">
      <c r="C91" s="21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</row>
    <row r="92" spans="1:62" x14ac:dyDescent="0.4"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</row>
    <row r="93" spans="1:62" x14ac:dyDescent="0.4">
      <c r="C93" s="2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</row>
    <row r="94" spans="1:62" x14ac:dyDescent="0.4">
      <c r="C94" s="103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</row>
    <row r="95" spans="1:62" x14ac:dyDescent="0.4">
      <c r="A95"/>
      <c r="B95"/>
      <c r="C95" s="21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</row>
    <row r="96" spans="1:62" x14ac:dyDescent="0.4">
      <c r="A96"/>
      <c r="B96"/>
      <c r="C96" s="9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</row>
    <row r="97" spans="1:54" x14ac:dyDescent="0.4">
      <c r="A97"/>
      <c r="B97"/>
      <c r="C97" s="9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</row>
    <row r="98" spans="1:54" x14ac:dyDescent="0.4">
      <c r="A98"/>
      <c r="B98"/>
      <c r="C98" s="9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</row>
    <row r="99" spans="1:54" x14ac:dyDescent="0.4">
      <c r="A99"/>
      <c r="B99"/>
      <c r="C99" s="9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</row>
    <row r="100" spans="1:54" x14ac:dyDescent="0.4">
      <c r="A100"/>
      <c r="B100"/>
      <c r="C100" s="9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</row>
    <row r="101" spans="1:54" x14ac:dyDescent="0.4">
      <c r="A101"/>
      <c r="B101"/>
      <c r="C101" s="21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</row>
    <row r="102" spans="1:54" x14ac:dyDescent="0.4">
      <c r="A102"/>
      <c r="B102"/>
      <c r="C102" s="21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</row>
    <row r="103" spans="1:54" x14ac:dyDescent="0.4">
      <c r="A103"/>
      <c r="B103"/>
      <c r="C103" s="2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</row>
    <row r="104" spans="1:54" x14ac:dyDescent="0.4">
      <c r="A104"/>
      <c r="B104"/>
      <c r="C104" s="103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</row>
    <row r="105" spans="1:54" x14ac:dyDescent="0.4">
      <c r="A105"/>
      <c r="B105"/>
      <c r="C105" s="9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</row>
    <row r="106" spans="1:54" x14ac:dyDescent="0.4">
      <c r="A106"/>
      <c r="B106"/>
      <c r="C106" s="9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</row>
    <row r="107" spans="1:54" x14ac:dyDescent="0.4">
      <c r="A107"/>
      <c r="B107"/>
      <c r="C107" s="9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</row>
    <row r="108" spans="1:54" x14ac:dyDescent="0.4">
      <c r="A108"/>
      <c r="B108"/>
      <c r="C108" s="21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</row>
    <row r="109" spans="1:54" x14ac:dyDescent="0.4">
      <c r="A109"/>
      <c r="B109"/>
      <c r="C109" s="21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</row>
    <row r="110" spans="1:54" x14ac:dyDescent="0.4">
      <c r="A110"/>
      <c r="B110"/>
      <c r="C110" s="2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</row>
    <row r="111" spans="1:54" x14ac:dyDescent="0.4">
      <c r="A111"/>
      <c r="B111"/>
      <c r="C111" s="103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</row>
    <row r="112" spans="1:54" x14ac:dyDescent="0.4">
      <c r="A112"/>
      <c r="B112"/>
      <c r="C112" s="9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</row>
    <row r="113" spans="1:54" x14ac:dyDescent="0.4">
      <c r="A113"/>
      <c r="B113"/>
      <c r="C113" s="9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</row>
    <row r="114" spans="1:54" x14ac:dyDescent="0.4">
      <c r="A114"/>
      <c r="B114"/>
      <c r="C114" s="9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</row>
    <row r="115" spans="1:54" x14ac:dyDescent="0.4">
      <c r="A115"/>
      <c r="B115"/>
      <c r="C115" s="9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</row>
    <row r="116" spans="1:54" x14ac:dyDescent="0.4">
      <c r="A116"/>
      <c r="B116"/>
      <c r="C116" s="21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</row>
    <row r="117" spans="1:54" x14ac:dyDescent="0.4">
      <c r="A117"/>
      <c r="B1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</row>
    <row r="118" spans="1:54" x14ac:dyDescent="0.4">
      <c r="A118"/>
      <c r="B118"/>
      <c r="C118" s="21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</row>
    <row r="119" spans="1:54" x14ac:dyDescent="0.4">
      <c r="A119"/>
      <c r="B119"/>
      <c r="C119" s="21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</row>
    <row r="120" spans="1:54" x14ac:dyDescent="0.4">
      <c r="A120"/>
      <c r="B120"/>
      <c r="C120" s="2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</row>
    <row r="121" spans="1:54" x14ac:dyDescent="0.4">
      <c r="A121"/>
      <c r="B121"/>
      <c r="C121" s="103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</row>
    <row r="122" spans="1:54" x14ac:dyDescent="0.4">
      <c r="A122"/>
      <c r="B122"/>
      <c r="C122" s="9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</row>
    <row r="123" spans="1:54" x14ac:dyDescent="0.4">
      <c r="A123"/>
      <c r="B123"/>
      <c r="C123" s="9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</row>
    <row r="124" spans="1:54" x14ac:dyDescent="0.4">
      <c r="A124"/>
      <c r="B124"/>
      <c r="C124" s="21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</row>
    <row r="125" spans="1:54" x14ac:dyDescent="0.4">
      <c r="A125"/>
      <c r="B125"/>
      <c r="C125" s="9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</row>
    <row r="126" spans="1:54" x14ac:dyDescent="0.4">
      <c r="A126"/>
      <c r="B126"/>
      <c r="C126" s="9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</row>
    <row r="127" spans="1:54" x14ac:dyDescent="0.4">
      <c r="A127"/>
      <c r="B127"/>
      <c r="C127" s="21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</row>
    <row r="128" spans="1:54" x14ac:dyDescent="0.4">
      <c r="A128"/>
      <c r="B128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</row>
    <row r="129" spans="1:54" x14ac:dyDescent="0.4">
      <c r="A129"/>
      <c r="B129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</row>
    <row r="130" spans="1:54" x14ac:dyDescent="0.4">
      <c r="A130"/>
      <c r="B130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</row>
    <row r="131" spans="1:54" x14ac:dyDescent="0.4">
      <c r="A131"/>
      <c r="B131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</row>
    <row r="132" spans="1:54" x14ac:dyDescent="0.4">
      <c r="A132"/>
      <c r="B132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</row>
    <row r="133" spans="1:54" x14ac:dyDescent="0.4">
      <c r="A133"/>
      <c r="B133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</row>
    <row r="134" spans="1:54" x14ac:dyDescent="0.4">
      <c r="A134"/>
      <c r="B134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</row>
    <row r="135" spans="1:54" x14ac:dyDescent="0.4">
      <c r="A135"/>
      <c r="B135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</row>
    <row r="136" spans="1:54" x14ac:dyDescent="0.4">
      <c r="A136"/>
      <c r="B136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</row>
    <row r="137" spans="1:54" x14ac:dyDescent="0.4">
      <c r="A137"/>
      <c r="B13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</row>
    <row r="138" spans="1:54" x14ac:dyDescent="0.4">
      <c r="A138"/>
      <c r="B138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</row>
    <row r="139" spans="1:54" x14ac:dyDescent="0.4">
      <c r="A139"/>
      <c r="B139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</row>
    <row r="140" spans="1:54" x14ac:dyDescent="0.4">
      <c r="A140"/>
      <c r="B140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</row>
    <row r="141" spans="1:54" x14ac:dyDescent="0.4">
      <c r="A141"/>
      <c r="B141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</row>
    <row r="142" spans="1:54" x14ac:dyDescent="0.4">
      <c r="A142"/>
      <c r="B142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</row>
    <row r="143" spans="1:54" x14ac:dyDescent="0.4">
      <c r="A143"/>
      <c r="B143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</row>
    <row r="144" spans="1:54" x14ac:dyDescent="0.4">
      <c r="A144"/>
      <c r="B144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</row>
    <row r="145" spans="1:54" x14ac:dyDescent="0.4">
      <c r="A145"/>
      <c r="B145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</row>
    <row r="146" spans="1:54" x14ac:dyDescent="0.4">
      <c r="A146"/>
      <c r="B146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</row>
    <row r="147" spans="1:54" x14ac:dyDescent="0.4">
      <c r="A147"/>
      <c r="B14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</row>
    <row r="148" spans="1:54" x14ac:dyDescent="0.4">
      <c r="A148"/>
      <c r="B148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</row>
    <row r="149" spans="1:54" x14ac:dyDescent="0.4">
      <c r="A149"/>
      <c r="B149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</row>
    <row r="150" spans="1:54" x14ac:dyDescent="0.4">
      <c r="A150"/>
      <c r="B150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</row>
    <row r="151" spans="1:54" x14ac:dyDescent="0.4">
      <c r="A151"/>
      <c r="B151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</row>
    <row r="152" spans="1:54" x14ac:dyDescent="0.4">
      <c r="A152"/>
      <c r="B152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</row>
    <row r="153" spans="1:54" x14ac:dyDescent="0.4">
      <c r="A153"/>
      <c r="B153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</row>
    <row r="154" spans="1:54" x14ac:dyDescent="0.4">
      <c r="A154"/>
      <c r="B154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</row>
    <row r="155" spans="1:54" x14ac:dyDescent="0.4">
      <c r="A155"/>
      <c r="B155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</row>
    <row r="156" spans="1:54" x14ac:dyDescent="0.4">
      <c r="A156"/>
      <c r="B156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</row>
    <row r="157" spans="1:54" x14ac:dyDescent="0.4">
      <c r="A157"/>
      <c r="B15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</row>
    <row r="158" spans="1:54" x14ac:dyDescent="0.4">
      <c r="A158"/>
      <c r="B158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</row>
    <row r="159" spans="1:54" x14ac:dyDescent="0.4">
      <c r="A159"/>
      <c r="B159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</row>
    <row r="160" spans="1:54" x14ac:dyDescent="0.4">
      <c r="A160"/>
      <c r="B160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</row>
    <row r="161" spans="1:54" x14ac:dyDescent="0.4">
      <c r="A161"/>
      <c r="B161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</row>
    <row r="162" spans="1:54" x14ac:dyDescent="0.4">
      <c r="A162"/>
      <c r="B162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</row>
    <row r="163" spans="1:54" x14ac:dyDescent="0.4">
      <c r="A163"/>
      <c r="B163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</row>
    <row r="164" spans="1:54" x14ac:dyDescent="0.4">
      <c r="A164"/>
      <c r="B164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</row>
    <row r="165" spans="1:54" x14ac:dyDescent="0.4">
      <c r="A165"/>
      <c r="B165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</row>
    <row r="166" spans="1:54" x14ac:dyDescent="0.4">
      <c r="A166"/>
      <c r="B166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</row>
    <row r="167" spans="1:54" x14ac:dyDescent="0.4">
      <c r="A167"/>
      <c r="B16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</row>
    <row r="168" spans="1:54" x14ac:dyDescent="0.4">
      <c r="A168"/>
      <c r="B168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</row>
    <row r="169" spans="1:54" x14ac:dyDescent="0.4">
      <c r="A169"/>
      <c r="B169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</row>
    <row r="170" spans="1:54" x14ac:dyDescent="0.4">
      <c r="A170"/>
      <c r="B170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</row>
    <row r="171" spans="1:54" x14ac:dyDescent="0.4">
      <c r="A171"/>
      <c r="B171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</row>
    <row r="172" spans="1:54" x14ac:dyDescent="0.4">
      <c r="A172"/>
      <c r="B172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</row>
    <row r="173" spans="1:54" x14ac:dyDescent="0.4">
      <c r="A173"/>
      <c r="B173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</row>
    <row r="174" spans="1:54" x14ac:dyDescent="0.4">
      <c r="A174"/>
      <c r="B174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</row>
    <row r="175" spans="1:54" x14ac:dyDescent="0.4">
      <c r="A175"/>
      <c r="B175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</row>
    <row r="176" spans="1:54" x14ac:dyDescent="0.4">
      <c r="A176"/>
      <c r="B176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</row>
    <row r="177" spans="1:54" x14ac:dyDescent="0.4">
      <c r="A177"/>
      <c r="B17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</row>
    <row r="178" spans="1:54" x14ac:dyDescent="0.4">
      <c r="A178"/>
      <c r="B178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</row>
    <row r="179" spans="1:54" x14ac:dyDescent="0.4">
      <c r="A179"/>
      <c r="B179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</row>
    <row r="180" spans="1:54" x14ac:dyDescent="0.4">
      <c r="A180"/>
      <c r="B180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</row>
    <row r="181" spans="1:54" x14ac:dyDescent="0.4">
      <c r="A181"/>
      <c r="B181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</row>
    <row r="182" spans="1:54" x14ac:dyDescent="0.4">
      <c r="A182"/>
      <c r="B182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</row>
    <row r="183" spans="1:54" x14ac:dyDescent="0.4">
      <c r="A183"/>
      <c r="B183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</row>
    <row r="184" spans="1:54" x14ac:dyDescent="0.4">
      <c r="A184"/>
      <c r="B184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</row>
    <row r="185" spans="1:54" x14ac:dyDescent="0.4">
      <c r="A185"/>
      <c r="B185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</row>
    <row r="186" spans="1:54" x14ac:dyDescent="0.4">
      <c r="A186"/>
      <c r="B186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</row>
    <row r="187" spans="1:54" x14ac:dyDescent="0.4">
      <c r="A187"/>
      <c r="B18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</row>
    <row r="188" spans="1:54" x14ac:dyDescent="0.4">
      <c r="A188"/>
      <c r="B188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</row>
    <row r="189" spans="1:54" x14ac:dyDescent="0.4">
      <c r="A189"/>
      <c r="B189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</row>
    <row r="190" spans="1:54" x14ac:dyDescent="0.4">
      <c r="A190"/>
      <c r="B190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</row>
    <row r="191" spans="1:54" x14ac:dyDescent="0.4">
      <c r="A191"/>
      <c r="B191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</row>
    <row r="192" spans="1:54" x14ac:dyDescent="0.4">
      <c r="A192"/>
      <c r="B192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</row>
    <row r="193" spans="1:54" x14ac:dyDescent="0.4">
      <c r="A193"/>
      <c r="B193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</row>
    <row r="194" spans="1:54" x14ac:dyDescent="0.4">
      <c r="A194"/>
      <c r="B194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</row>
    <row r="195" spans="1:54" x14ac:dyDescent="0.4">
      <c r="A195"/>
      <c r="B195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</row>
    <row r="196" spans="1:54" x14ac:dyDescent="0.4">
      <c r="A196"/>
      <c r="B196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</row>
    <row r="197" spans="1:54" x14ac:dyDescent="0.4">
      <c r="A197"/>
      <c r="B19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</row>
    <row r="198" spans="1:54" x14ac:dyDescent="0.4">
      <c r="A198"/>
      <c r="B198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</row>
    <row r="199" spans="1:54" x14ac:dyDescent="0.4">
      <c r="A199"/>
      <c r="B199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</row>
    <row r="200" spans="1:54" x14ac:dyDescent="0.4">
      <c r="A200"/>
      <c r="B200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</row>
    <row r="201" spans="1:54" x14ac:dyDescent="0.4">
      <c r="A201"/>
      <c r="B201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</row>
    <row r="202" spans="1:54" x14ac:dyDescent="0.4">
      <c r="A202"/>
      <c r="B202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</row>
    <row r="203" spans="1:54" x14ac:dyDescent="0.4">
      <c r="A203"/>
      <c r="B203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</row>
    <row r="204" spans="1:54" x14ac:dyDescent="0.4">
      <c r="A204"/>
      <c r="B204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</row>
    <row r="205" spans="1:54" x14ac:dyDescent="0.4">
      <c r="A205"/>
      <c r="B205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</row>
    <row r="206" spans="1:54" x14ac:dyDescent="0.4">
      <c r="A206"/>
      <c r="B206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</row>
    <row r="207" spans="1:54" x14ac:dyDescent="0.4">
      <c r="A207"/>
      <c r="B20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</row>
    <row r="208" spans="1:54" x14ac:dyDescent="0.4">
      <c r="A208"/>
      <c r="B208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</row>
    <row r="209" spans="1:54" x14ac:dyDescent="0.4">
      <c r="A209"/>
      <c r="B209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</row>
    <row r="210" spans="1:54" x14ac:dyDescent="0.4">
      <c r="A210"/>
      <c r="B210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</row>
    <row r="211" spans="1:54" x14ac:dyDescent="0.4">
      <c r="A211"/>
      <c r="B211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</row>
    <row r="212" spans="1:54" x14ac:dyDescent="0.4">
      <c r="A212"/>
      <c r="B212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</row>
    <row r="213" spans="1:54" x14ac:dyDescent="0.4">
      <c r="A213"/>
      <c r="B213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</row>
    <row r="214" spans="1:54" x14ac:dyDescent="0.4">
      <c r="A214"/>
      <c r="B214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</row>
    <row r="215" spans="1:54" x14ac:dyDescent="0.4">
      <c r="A215"/>
      <c r="B215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</row>
    <row r="216" spans="1:54" x14ac:dyDescent="0.4">
      <c r="A216"/>
      <c r="B216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</row>
    <row r="217" spans="1:54" x14ac:dyDescent="0.4">
      <c r="A217"/>
      <c r="B2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</row>
    <row r="218" spans="1:54" x14ac:dyDescent="0.4">
      <c r="A218"/>
      <c r="B218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</row>
    <row r="219" spans="1:54" x14ac:dyDescent="0.4">
      <c r="A219"/>
      <c r="B219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</row>
    <row r="220" spans="1:54" x14ac:dyDescent="0.4">
      <c r="A220"/>
      <c r="B220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</row>
    <row r="221" spans="1:54" x14ac:dyDescent="0.4">
      <c r="A221"/>
      <c r="B221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</row>
    <row r="222" spans="1:54" x14ac:dyDescent="0.4">
      <c r="A222"/>
      <c r="B222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</row>
    <row r="223" spans="1:54" x14ac:dyDescent="0.4">
      <c r="A223"/>
      <c r="B223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</row>
    <row r="224" spans="1:54" x14ac:dyDescent="0.4">
      <c r="A224"/>
      <c r="B224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</row>
    <row r="225" spans="1:54" x14ac:dyDescent="0.4">
      <c r="A225"/>
      <c r="B225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</row>
    <row r="226" spans="1:54" x14ac:dyDescent="0.4">
      <c r="A226"/>
      <c r="B226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</row>
    <row r="227" spans="1:54" x14ac:dyDescent="0.4">
      <c r="A227"/>
      <c r="B22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</row>
    <row r="228" spans="1:54" x14ac:dyDescent="0.4">
      <c r="A228"/>
      <c r="B228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</row>
    <row r="229" spans="1:54" x14ac:dyDescent="0.4">
      <c r="A229"/>
      <c r="B229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</row>
    <row r="230" spans="1:54" x14ac:dyDescent="0.4">
      <c r="A230"/>
      <c r="B230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</row>
    <row r="231" spans="1:54" x14ac:dyDescent="0.4">
      <c r="A231"/>
      <c r="B231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</row>
    <row r="232" spans="1:54" x14ac:dyDescent="0.4">
      <c r="A232"/>
      <c r="B232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</row>
    <row r="233" spans="1:54" x14ac:dyDescent="0.4">
      <c r="A233"/>
      <c r="B233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</row>
    <row r="234" spans="1:54" x14ac:dyDescent="0.4">
      <c r="A234"/>
      <c r="B234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</row>
    <row r="235" spans="1:54" x14ac:dyDescent="0.4">
      <c r="A235"/>
      <c r="B235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</row>
    <row r="236" spans="1:54" x14ac:dyDescent="0.4">
      <c r="A236"/>
      <c r="B236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</row>
    <row r="237" spans="1:54" x14ac:dyDescent="0.4">
      <c r="A237"/>
      <c r="B23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</row>
    <row r="238" spans="1:54" x14ac:dyDescent="0.4">
      <c r="A238"/>
      <c r="B238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</row>
    <row r="239" spans="1:54" x14ac:dyDescent="0.4">
      <c r="A239"/>
      <c r="B239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</row>
    <row r="240" spans="1:54" x14ac:dyDescent="0.4">
      <c r="A240"/>
      <c r="B240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</row>
    <row r="241" spans="1:54" x14ac:dyDescent="0.4">
      <c r="A241"/>
      <c r="B241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</row>
    <row r="242" spans="1:54" x14ac:dyDescent="0.4">
      <c r="A242"/>
      <c r="B242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</row>
    <row r="243" spans="1:54" x14ac:dyDescent="0.4">
      <c r="A243"/>
      <c r="B243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</row>
    <row r="244" spans="1:54" x14ac:dyDescent="0.4">
      <c r="A244"/>
      <c r="B244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</row>
    <row r="245" spans="1:54" x14ac:dyDescent="0.4">
      <c r="A245"/>
      <c r="B245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</row>
    <row r="246" spans="1:54" x14ac:dyDescent="0.4">
      <c r="A246"/>
      <c r="B246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</row>
    <row r="247" spans="1:54" x14ac:dyDescent="0.4">
      <c r="A247"/>
      <c r="B24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</row>
    <row r="248" spans="1:54" x14ac:dyDescent="0.4">
      <c r="A248"/>
      <c r="B248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</row>
    <row r="249" spans="1:54" x14ac:dyDescent="0.4">
      <c r="A249"/>
      <c r="B249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</row>
    <row r="250" spans="1:54" x14ac:dyDescent="0.4">
      <c r="A250"/>
      <c r="B250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</row>
    <row r="251" spans="1:54" x14ac:dyDescent="0.4">
      <c r="A251"/>
      <c r="B251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</row>
    <row r="252" spans="1:54" x14ac:dyDescent="0.4">
      <c r="A252"/>
      <c r="B252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</row>
    <row r="253" spans="1:54" x14ac:dyDescent="0.4">
      <c r="A253"/>
      <c r="B253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</row>
    <row r="254" spans="1:54" x14ac:dyDescent="0.4">
      <c r="A254"/>
      <c r="B254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</row>
    <row r="255" spans="1:54" x14ac:dyDescent="0.4">
      <c r="A255"/>
      <c r="B255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</row>
    <row r="256" spans="1:54" x14ac:dyDescent="0.4">
      <c r="A256"/>
      <c r="B256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</row>
    <row r="257" spans="1:54" x14ac:dyDescent="0.4">
      <c r="A257"/>
      <c r="B25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</row>
    <row r="258" spans="1:54" x14ac:dyDescent="0.4">
      <c r="A258"/>
      <c r="B258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</row>
    <row r="259" spans="1:54" x14ac:dyDescent="0.4">
      <c r="A259"/>
      <c r="B259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</row>
    <row r="260" spans="1:54" x14ac:dyDescent="0.4">
      <c r="A260"/>
      <c r="B260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</row>
    <row r="261" spans="1:54" x14ac:dyDescent="0.4">
      <c r="A261"/>
      <c r="B261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</row>
    <row r="262" spans="1:54" x14ac:dyDescent="0.4">
      <c r="A262"/>
      <c r="B262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</row>
    <row r="263" spans="1:54" x14ac:dyDescent="0.4">
      <c r="A263"/>
      <c r="B263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</row>
    <row r="264" spans="1:54" x14ac:dyDescent="0.4">
      <c r="A264"/>
      <c r="B264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</row>
    <row r="265" spans="1:54" x14ac:dyDescent="0.4">
      <c r="A265"/>
      <c r="B265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</row>
    <row r="266" spans="1:54" x14ac:dyDescent="0.4">
      <c r="A266"/>
      <c r="B266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</row>
    <row r="267" spans="1:54" x14ac:dyDescent="0.4">
      <c r="A267"/>
      <c r="B26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</row>
    <row r="268" spans="1:54" x14ac:dyDescent="0.4">
      <c r="A268"/>
      <c r="B268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</row>
    <row r="269" spans="1:54" x14ac:dyDescent="0.4">
      <c r="A269"/>
      <c r="B269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</row>
    <row r="270" spans="1:54" x14ac:dyDescent="0.4">
      <c r="A270"/>
      <c r="B270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</row>
    <row r="271" spans="1:54" x14ac:dyDescent="0.4">
      <c r="A271"/>
      <c r="B271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</row>
    <row r="272" spans="1:54" x14ac:dyDescent="0.4">
      <c r="A272"/>
      <c r="B272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</row>
    <row r="273" spans="1:54" x14ac:dyDescent="0.4">
      <c r="A273"/>
      <c r="B273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</row>
    <row r="274" spans="1:54" x14ac:dyDescent="0.4">
      <c r="A274"/>
      <c r="B274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</row>
    <row r="275" spans="1:54" x14ac:dyDescent="0.4">
      <c r="A275"/>
      <c r="B275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</row>
    <row r="276" spans="1:54" x14ac:dyDescent="0.4">
      <c r="A276"/>
      <c r="B276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</row>
    <row r="277" spans="1:54" x14ac:dyDescent="0.4">
      <c r="A277"/>
      <c r="B27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</row>
    <row r="278" spans="1:54" x14ac:dyDescent="0.4">
      <c r="A278"/>
      <c r="B278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</row>
    <row r="279" spans="1:54" x14ac:dyDescent="0.4">
      <c r="A279"/>
      <c r="B279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</row>
    <row r="280" spans="1:54" x14ac:dyDescent="0.4">
      <c r="A280"/>
      <c r="B280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</row>
    <row r="281" spans="1:54" x14ac:dyDescent="0.4">
      <c r="A281"/>
      <c r="B281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</row>
    <row r="282" spans="1:54" x14ac:dyDescent="0.4">
      <c r="A282"/>
      <c r="B282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</row>
    <row r="283" spans="1:54" x14ac:dyDescent="0.4">
      <c r="A283"/>
      <c r="B283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</row>
    <row r="284" spans="1:54" x14ac:dyDescent="0.4">
      <c r="A284"/>
      <c r="B284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</row>
    <row r="285" spans="1:54" x14ac:dyDescent="0.4">
      <c r="A285"/>
      <c r="B285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</row>
    <row r="286" spans="1:54" x14ac:dyDescent="0.4">
      <c r="A286"/>
      <c r="B286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</row>
    <row r="287" spans="1:54" x14ac:dyDescent="0.4">
      <c r="A287"/>
      <c r="B28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</row>
    <row r="288" spans="1:54" x14ac:dyDescent="0.4">
      <c r="A288"/>
      <c r="B288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</row>
    <row r="289" spans="1:54" x14ac:dyDescent="0.4">
      <c r="A289"/>
      <c r="B289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</row>
    <row r="290" spans="1:54" x14ac:dyDescent="0.4">
      <c r="A290"/>
      <c r="B290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</row>
    <row r="291" spans="1:54" x14ac:dyDescent="0.4">
      <c r="A291"/>
      <c r="B291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</row>
    <row r="292" spans="1:54" x14ac:dyDescent="0.4">
      <c r="A292"/>
      <c r="B292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</row>
    <row r="293" spans="1:54" x14ac:dyDescent="0.4">
      <c r="A293"/>
      <c r="B293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</row>
    <row r="294" spans="1:54" x14ac:dyDescent="0.4">
      <c r="A294"/>
      <c r="B294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</row>
    <row r="295" spans="1:54" x14ac:dyDescent="0.4">
      <c r="A295"/>
      <c r="B295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</row>
    <row r="296" spans="1:54" x14ac:dyDescent="0.4">
      <c r="A296"/>
      <c r="B296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</row>
    <row r="297" spans="1:54" x14ac:dyDescent="0.4">
      <c r="A297"/>
      <c r="B29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</row>
    <row r="298" spans="1:54" x14ac:dyDescent="0.4">
      <c r="A298"/>
      <c r="B298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</row>
    <row r="299" spans="1:54" x14ac:dyDescent="0.4">
      <c r="A299"/>
      <c r="B299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</row>
    <row r="300" spans="1:54" x14ac:dyDescent="0.4">
      <c r="A300"/>
      <c r="B300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</row>
    <row r="301" spans="1:54" x14ac:dyDescent="0.4">
      <c r="A301"/>
      <c r="B301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</row>
  </sheetData>
  <pageMargins left="0.7" right="0.7" top="0.75" bottom="0.75" header="0.3" footer="0.3"/>
  <pageSetup paperSize="9" orientation="portrait" r:id="rId1"/>
  <customProperties>
    <customPr name="_pios_id" r:id="rId2"/>
  </customProperties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28B72788D0AF4DAA6FCEE3208A840B" ma:contentTypeVersion="11" ma:contentTypeDescription="Crear nuevo documento." ma:contentTypeScope="" ma:versionID="4cdcd17260d179b2a38c8b80aec57270">
  <xsd:schema xmlns:xsd="http://www.w3.org/2001/XMLSchema" xmlns:xs="http://www.w3.org/2001/XMLSchema" xmlns:p="http://schemas.microsoft.com/office/2006/metadata/properties" xmlns:ns2="4e76e0e2-d5a9-41a6-8aae-6e88b63699c0" xmlns:ns3="322aa1f8-1241-4027-b5e8-d064e8e15485" targetNamespace="http://schemas.microsoft.com/office/2006/metadata/properties" ma:root="true" ma:fieldsID="372cfde59a69a2572a3584b8694954d5" ns2:_="" ns3:_="">
    <xsd:import namespace="4e76e0e2-d5a9-41a6-8aae-6e88b63699c0"/>
    <xsd:import namespace="322aa1f8-1241-4027-b5e8-d064e8e154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6e0e2-d5a9-41a6-8aae-6e88b63699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75cd8305-af7c-4ee9-8ae9-33a0e11ee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aa1f8-1241-4027-b5e8-d064e8e1548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0e6616a-fca0-46f2-a2ad-bb173e1fcee9}" ma:internalName="TaxCatchAll" ma:showField="CatchAllData" ma:web="322aa1f8-1241-4027-b5e8-d064e8e154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2aa1f8-1241-4027-b5e8-d064e8e15485" xsi:nil="true"/>
    <lcf76f155ced4ddcb4097134ff3c332f xmlns="4e76e0e2-d5a9-41a6-8aae-6e88b63699c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BFA1FB-E5CA-40DC-B581-84233315BC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76e0e2-d5a9-41a6-8aae-6e88b63699c0"/>
    <ds:schemaRef ds:uri="322aa1f8-1241-4027-b5e8-d064e8e154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C5684D-33AF-4E3A-AEBD-1E3A35028C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06431F-63BC-46D7-B7B1-473E95FA77A9}">
  <ds:schemaRefs>
    <ds:schemaRef ds:uri="http://schemas.microsoft.com/office/2006/metadata/properties"/>
    <ds:schemaRef ds:uri="http://schemas.microsoft.com/office/infopath/2007/PartnerControls"/>
    <ds:schemaRef ds:uri="322aa1f8-1241-4027-b5e8-d064e8e15485"/>
    <ds:schemaRef ds:uri="4e76e0e2-d5a9-41a6-8aae-6e88b63699c0"/>
  </ds:schemaRefs>
</ds:datastoreItem>
</file>

<file path=docMetadata/LabelInfo.xml><?xml version="1.0" encoding="utf-8"?>
<clbl:labelList xmlns:clbl="http://schemas.microsoft.com/office/2020/mipLabelMetadata">
  <clbl:label id="{43d07fe4-7260-4ffb-aceb-4c1bb49daaf2}" enabled="0" method="" siteId="{43d07fe4-7260-4ffb-aceb-4c1bb49daaf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WEB CONSOLIDADO</vt:lpstr>
      <vt:lpstr>WEB CELULOSA</vt:lpstr>
      <vt:lpstr>WEB RENOVABLES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Buendia Murcia, Francisco Javier</dc:creator>
  <cp:lastModifiedBy>Garcia Ors, Miguel Angel</cp:lastModifiedBy>
  <dcterms:created xsi:type="dcterms:W3CDTF">2025-04-29T11:01:13Z</dcterms:created>
  <dcterms:modified xsi:type="dcterms:W3CDTF">2026-07-30T08:30:27Z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0x0101005F28B72788D0AF4DAA6FCEE3208A840B</vt:lpwstr>
  </property>
  <property fmtid="{D5CDD505-2E9C-101B-9397-08002B2CF9AE}" pid="3" name="MediaServiceImageTags">
    <vt:lpwstr/>
  </property>
</Properties>
</file>